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-FU-N2\Shared-N\БЮДЖЕТ 2025-2027\ИСПОЛНЕНИЕ\Исполнение 2025\Решение\"/>
    </mc:Choice>
  </mc:AlternateContent>
  <bookViews>
    <workbookView xWindow="360" yWindow="276" windowWidth="11952" windowHeight="5592"/>
  </bookViews>
  <sheets>
    <sheet name="Приложение" sheetId="2" r:id="rId1"/>
  </sheets>
  <calcPr calcId="162913"/>
</workbook>
</file>

<file path=xl/calcChain.xml><?xml version="1.0" encoding="utf-8"?>
<calcChain xmlns="http://schemas.openxmlformats.org/spreadsheetml/2006/main">
  <c r="F261" i="2" l="1"/>
  <c r="F259" i="2"/>
  <c r="F258" i="2" s="1"/>
  <c r="F256" i="2"/>
  <c r="F243" i="2"/>
  <c r="F242" i="2" s="1"/>
  <c r="F240" i="2"/>
  <c r="F238" i="2"/>
  <c r="F236" i="2"/>
  <c r="F233" i="2"/>
  <c r="F231" i="2"/>
  <c r="F229" i="2"/>
  <c r="F227" i="2"/>
  <c r="E227" i="2"/>
  <c r="F209" i="2"/>
  <c r="F183" i="2"/>
  <c r="F182" i="2" s="1"/>
  <c r="F180" i="2"/>
  <c r="F178" i="2"/>
  <c r="F176" i="2"/>
  <c r="F174" i="2"/>
  <c r="F171" i="2"/>
  <c r="F169" i="2"/>
  <c r="G24" i="2"/>
  <c r="G30" i="2"/>
  <c r="G32" i="2"/>
  <c r="G34" i="2"/>
  <c r="G44" i="2"/>
  <c r="G58" i="2"/>
  <c r="G63" i="2"/>
  <c r="G68" i="2"/>
  <c r="G80" i="2"/>
  <c r="G90" i="2"/>
  <c r="G97" i="2"/>
  <c r="G98" i="2"/>
  <c r="G101" i="2"/>
  <c r="G107" i="2"/>
  <c r="G115" i="2"/>
  <c r="G119" i="2"/>
  <c r="G121" i="2"/>
  <c r="G122" i="2"/>
  <c r="G127" i="2"/>
  <c r="G130" i="2"/>
  <c r="G131" i="2"/>
  <c r="G132" i="2"/>
  <c r="G133" i="2"/>
  <c r="G134" i="2"/>
  <c r="G142" i="2"/>
  <c r="G146" i="2"/>
  <c r="G149" i="2"/>
  <c r="G150" i="2"/>
  <c r="G153" i="2"/>
  <c r="G156" i="2"/>
  <c r="G158" i="2"/>
  <c r="G163" i="2"/>
  <c r="G170" i="2"/>
  <c r="G177" i="2"/>
  <c r="G179" i="2"/>
  <c r="G181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200" i="2"/>
  <c r="G201" i="2"/>
  <c r="G203" i="2"/>
  <c r="G204" i="2"/>
  <c r="G205" i="2"/>
  <c r="G207" i="2"/>
  <c r="G234" i="2"/>
  <c r="G237" i="2"/>
  <c r="G241" i="2"/>
  <c r="G244" i="2"/>
  <c r="G245" i="2"/>
  <c r="G246" i="2"/>
  <c r="G248" i="2"/>
  <c r="G251" i="2"/>
  <c r="G252" i="2"/>
  <c r="G254" i="2"/>
  <c r="G255" i="2"/>
  <c r="G262" i="2"/>
  <c r="F161" i="2"/>
  <c r="F159" i="2" s="1"/>
  <c r="F157" i="2"/>
  <c r="E157" i="2"/>
  <c r="F152" i="2"/>
  <c r="F151" i="2" s="1"/>
  <c r="F148" i="2"/>
  <c r="F140" i="2"/>
  <c r="E141" i="2"/>
  <c r="G141" i="2" s="1"/>
  <c r="F145" i="2"/>
  <c r="F143" i="2"/>
  <c r="E143" i="2"/>
  <c r="F137" i="2"/>
  <c r="F118" i="2"/>
  <c r="F114" i="2"/>
  <c r="F113" i="2" s="1"/>
  <c r="F111" i="2"/>
  <c r="F109" i="2"/>
  <c r="F106" i="2"/>
  <c r="F103" i="2"/>
  <c r="F100" i="2"/>
  <c r="F99" i="2"/>
  <c r="F96" i="2" s="1"/>
  <c r="F89" i="2"/>
  <c r="F88" i="2" s="1"/>
  <c r="F85" i="2"/>
  <c r="F84" i="2" s="1"/>
  <c r="F81" i="2"/>
  <c r="F78" i="2" s="1"/>
  <c r="F77" i="2" s="1"/>
  <c r="F70" i="2"/>
  <c r="E66" i="2"/>
  <c r="G66" i="2" s="1"/>
  <c r="F65" i="2"/>
  <c r="F62" i="2"/>
  <c r="F60" i="2"/>
  <c r="F57" i="2"/>
  <c r="F55" i="2"/>
  <c r="F52" i="2"/>
  <c r="F49" i="2"/>
  <c r="F47" i="2"/>
  <c r="F45" i="2"/>
  <c r="F43" i="2"/>
  <c r="F41" i="2"/>
  <c r="F28" i="2"/>
  <c r="F37" i="2"/>
  <c r="F35" i="2"/>
  <c r="F33" i="2"/>
  <c r="F31" i="2"/>
  <c r="F29" i="2"/>
  <c r="F14" i="2"/>
  <c r="F12" i="2"/>
  <c r="F11" i="2"/>
  <c r="F10" i="2" l="1"/>
  <c r="F235" i="2"/>
  <c r="F208" i="2"/>
  <c r="F27" i="2"/>
  <c r="F173" i="2"/>
  <c r="G157" i="2"/>
  <c r="F139" i="2"/>
  <c r="F93" i="2"/>
  <c r="F168" i="2"/>
  <c r="F92" i="2"/>
  <c r="F64" i="2"/>
  <c r="F147" i="2"/>
  <c r="F108" i="2"/>
  <c r="F59" i="2"/>
  <c r="F54" i="2"/>
  <c r="F40" i="2"/>
  <c r="G218" i="2"/>
  <c r="G211" i="2"/>
  <c r="G220" i="2"/>
  <c r="G225" i="2"/>
  <c r="G228" i="2"/>
  <c r="G219" i="2"/>
  <c r="F167" i="2" l="1"/>
  <c r="F105" i="2"/>
  <c r="F39" i="2"/>
  <c r="F87" i="2"/>
  <c r="F51" i="2"/>
  <c r="F117" i="2"/>
  <c r="F166" i="2"/>
  <c r="E263" i="2"/>
  <c r="E260" i="2"/>
  <c r="E257" i="2"/>
  <c r="E253" i="2"/>
  <c r="G253" i="2" s="1"/>
  <c r="G250" i="2"/>
  <c r="E249" i="2"/>
  <c r="G249" i="2" s="1"/>
  <c r="G247" i="2"/>
  <c r="E240" i="2"/>
  <c r="G240" i="2" s="1"/>
  <c r="E236" i="2"/>
  <c r="G236" i="2" s="1"/>
  <c r="E233" i="2"/>
  <c r="G233" i="2" s="1"/>
  <c r="E232" i="2"/>
  <c r="E230" i="2"/>
  <c r="G227" i="2"/>
  <c r="E226" i="2"/>
  <c r="G226" i="2" s="1"/>
  <c r="E224" i="2"/>
  <c r="G224" i="2" s="1"/>
  <c r="E223" i="2"/>
  <c r="G223" i="2" s="1"/>
  <c r="E222" i="2"/>
  <c r="G222" i="2" s="1"/>
  <c r="E221" i="2"/>
  <c r="G221" i="2" s="1"/>
  <c r="E217" i="2"/>
  <c r="G217" i="2" s="1"/>
  <c r="E216" i="2"/>
  <c r="G216" i="2" s="1"/>
  <c r="E215" i="2"/>
  <c r="G215" i="2" s="1"/>
  <c r="E214" i="2"/>
  <c r="G214" i="2" s="1"/>
  <c r="E213" i="2"/>
  <c r="G213" i="2" s="1"/>
  <c r="E212" i="2"/>
  <c r="G212" i="2" s="1"/>
  <c r="E210" i="2"/>
  <c r="G210" i="2" s="1"/>
  <c r="E206" i="2"/>
  <c r="G206" i="2" s="1"/>
  <c r="E202" i="2"/>
  <c r="G202" i="2" s="1"/>
  <c r="E199" i="2"/>
  <c r="G199" i="2" s="1"/>
  <c r="E180" i="2"/>
  <c r="G180" i="2" s="1"/>
  <c r="E178" i="2"/>
  <c r="E176" i="2"/>
  <c r="G176" i="2" s="1"/>
  <c r="E172" i="2"/>
  <c r="E169" i="2"/>
  <c r="G169" i="2" s="1"/>
  <c r="E165" i="2"/>
  <c r="G165" i="2" s="1"/>
  <c r="E164" i="2"/>
  <c r="E155" i="2"/>
  <c r="E154" i="2"/>
  <c r="E148" i="2"/>
  <c r="G148" i="2" s="1"/>
  <c r="E145" i="2"/>
  <c r="G145" i="2" s="1"/>
  <c r="E140" i="2"/>
  <c r="E138" i="2"/>
  <c r="E137" i="2" s="1"/>
  <c r="E136" i="2"/>
  <c r="G136" i="2" s="1"/>
  <c r="E129" i="2"/>
  <c r="G129" i="2" s="1"/>
  <c r="E128" i="2"/>
  <c r="G128" i="2" s="1"/>
  <c r="E126" i="2"/>
  <c r="E125" i="2"/>
  <c r="G125" i="2" s="1"/>
  <c r="E124" i="2"/>
  <c r="G124" i="2" s="1"/>
  <c r="E123" i="2"/>
  <c r="G123" i="2" s="1"/>
  <c r="E120" i="2"/>
  <c r="G120" i="2" s="1"/>
  <c r="E116" i="2"/>
  <c r="E112" i="2"/>
  <c r="E110" i="2"/>
  <c r="E106" i="2"/>
  <c r="G106" i="2" s="1"/>
  <c r="E104" i="2"/>
  <c r="E102" i="2"/>
  <c r="G102" i="2" s="1"/>
  <c r="E99" i="2"/>
  <c r="E94" i="2"/>
  <c r="E89" i="2"/>
  <c r="E86" i="2"/>
  <c r="E82" i="2"/>
  <c r="E79" i="2"/>
  <c r="G79" i="2" s="1"/>
  <c r="E76" i="2"/>
  <c r="G76" i="2" s="1"/>
  <c r="E75" i="2"/>
  <c r="G75" i="2" s="1"/>
  <c r="E73" i="2"/>
  <c r="G73" i="2" s="1"/>
  <c r="E72" i="2"/>
  <c r="G72" i="2" s="1"/>
  <c r="E69" i="2"/>
  <c r="G69" i="2" s="1"/>
  <c r="E67" i="2"/>
  <c r="G67" i="2" s="1"/>
  <c r="E62" i="2"/>
  <c r="G62" i="2" s="1"/>
  <c r="E61" i="2"/>
  <c r="E57" i="2"/>
  <c r="G57" i="2" s="1"/>
  <c r="E56" i="2"/>
  <c r="E53" i="2"/>
  <c r="E50" i="2"/>
  <c r="E47" i="2"/>
  <c r="E46" i="2"/>
  <c r="E43" i="2"/>
  <c r="G43" i="2" s="1"/>
  <c r="E42" i="2"/>
  <c r="E38" i="2"/>
  <c r="E36" i="2"/>
  <c r="G36" i="2" s="1"/>
  <c r="E33" i="2"/>
  <c r="G33" i="2" s="1"/>
  <c r="E31" i="2"/>
  <c r="G31" i="2" s="1"/>
  <c r="E29" i="2"/>
  <c r="G29" i="2" s="1"/>
  <c r="E26" i="2"/>
  <c r="G26" i="2" s="1"/>
  <c r="E25" i="2"/>
  <c r="G25" i="2" s="1"/>
  <c r="E23" i="2"/>
  <c r="G23" i="2" s="1"/>
  <c r="E22" i="2"/>
  <c r="G22" i="2" s="1"/>
  <c r="E21" i="2"/>
  <c r="G21" i="2" s="1"/>
  <c r="E20" i="2"/>
  <c r="G20" i="2" s="1"/>
  <c r="E19" i="2"/>
  <c r="G19" i="2" s="1"/>
  <c r="E18" i="2"/>
  <c r="G18" i="2" s="1"/>
  <c r="E17" i="2"/>
  <c r="G17" i="2" s="1"/>
  <c r="E16" i="2"/>
  <c r="G16" i="2" s="1"/>
  <c r="E15" i="2"/>
  <c r="G15" i="2" s="1"/>
  <c r="E13" i="2"/>
  <c r="E12" i="2" s="1"/>
  <c r="G12" i="2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G178" i="2" l="1"/>
  <c r="E100" i="2"/>
  <c r="G100" i="2" s="1"/>
  <c r="E41" i="2"/>
  <c r="G41" i="2" s="1"/>
  <c r="G42" i="2"/>
  <c r="E45" i="2"/>
  <c r="G45" i="2" s="1"/>
  <c r="G46" i="2"/>
  <c r="E49" i="2"/>
  <c r="G49" i="2" s="1"/>
  <c r="G50" i="2"/>
  <c r="E55" i="2"/>
  <c r="G55" i="2" s="1"/>
  <c r="G56" i="2"/>
  <c r="E60" i="2"/>
  <c r="G60" i="2" s="1"/>
  <c r="G61" i="2"/>
  <c r="E85" i="2"/>
  <c r="G86" i="2"/>
  <c r="G94" i="2"/>
  <c r="E103" i="2"/>
  <c r="G103" i="2" s="1"/>
  <c r="G104" i="2"/>
  <c r="E109" i="2"/>
  <c r="G110" i="2"/>
  <c r="E114" i="2"/>
  <c r="G116" i="2"/>
  <c r="E139" i="2"/>
  <c r="G139" i="2" s="1"/>
  <c r="G140" i="2"/>
  <c r="E171" i="2"/>
  <c r="G171" i="2" s="1"/>
  <c r="G172" i="2"/>
  <c r="E231" i="2"/>
  <c r="G231" i="2" s="1"/>
  <c r="G232" i="2"/>
  <c r="E259" i="2"/>
  <c r="G260" i="2"/>
  <c r="F83" i="2"/>
  <c r="E11" i="2"/>
  <c r="G11" i="2" s="1"/>
  <c r="G13" i="2"/>
  <c r="E37" i="2"/>
  <c r="G37" i="2" s="1"/>
  <c r="G38" i="2"/>
  <c r="E52" i="2"/>
  <c r="G52" i="2" s="1"/>
  <c r="G53" i="2"/>
  <c r="E81" i="2"/>
  <c r="G81" i="2" s="1"/>
  <c r="G82" i="2"/>
  <c r="E88" i="2"/>
  <c r="G88" i="2" s="1"/>
  <c r="G89" i="2"/>
  <c r="E96" i="2"/>
  <c r="G96" i="2" s="1"/>
  <c r="G99" i="2"/>
  <c r="E111" i="2"/>
  <c r="G111" i="2" s="1"/>
  <c r="G112" i="2"/>
  <c r="G154" i="2"/>
  <c r="E152" i="2"/>
  <c r="G152" i="2" s="1"/>
  <c r="E161" i="2"/>
  <c r="G164" i="2"/>
  <c r="E174" i="2"/>
  <c r="G175" i="2"/>
  <c r="E229" i="2"/>
  <c r="G229" i="2" s="1"/>
  <c r="G230" i="2"/>
  <c r="E238" i="2"/>
  <c r="G238" i="2" s="1"/>
  <c r="G239" i="2"/>
  <c r="E256" i="2"/>
  <c r="G256" i="2" s="1"/>
  <c r="G257" i="2"/>
  <c r="E261" i="2"/>
  <c r="G261" i="2" s="1"/>
  <c r="G263" i="2"/>
  <c r="E78" i="2"/>
  <c r="E35" i="2"/>
  <c r="G35" i="2" s="1"/>
  <c r="E28" i="2"/>
  <c r="E74" i="2"/>
  <c r="G74" i="2" s="1"/>
  <c r="E71" i="2"/>
  <c r="E14" i="2"/>
  <c r="G14" i="2" s="1"/>
  <c r="E183" i="2"/>
  <c r="E209" i="2"/>
  <c r="G209" i="2" s="1"/>
  <c r="E65" i="2"/>
  <c r="G65" i="2" s="1"/>
  <c r="E10" i="2"/>
  <c r="G10" i="2" s="1"/>
  <c r="E40" i="2"/>
  <c r="E243" i="2"/>
  <c r="E118" i="2"/>
  <c r="E168" i="2" l="1"/>
  <c r="G168" i="2" s="1"/>
  <c r="E54" i="2"/>
  <c r="G54" i="2" s="1"/>
  <c r="E51" i="2"/>
  <c r="G51" i="2" s="1"/>
  <c r="E59" i="2"/>
  <c r="G59" i="2" s="1"/>
  <c r="E151" i="2"/>
  <c r="G174" i="2"/>
  <c r="E242" i="2"/>
  <c r="G243" i="2"/>
  <c r="E77" i="2"/>
  <c r="G77" i="2" s="1"/>
  <c r="G78" i="2"/>
  <c r="E159" i="2"/>
  <c r="G159" i="2" s="1"/>
  <c r="G161" i="2"/>
  <c r="F9" i="2"/>
  <c r="F264" i="2" s="1"/>
  <c r="E258" i="2"/>
  <c r="G258" i="2" s="1"/>
  <c r="G259" i="2"/>
  <c r="E113" i="2"/>
  <c r="G113" i="2" s="1"/>
  <c r="G114" i="2"/>
  <c r="E108" i="2"/>
  <c r="G109" i="2"/>
  <c r="E84" i="2"/>
  <c r="G84" i="2" s="1"/>
  <c r="G85" i="2"/>
  <c r="E93" i="2"/>
  <c r="G118" i="2"/>
  <c r="E39" i="2"/>
  <c r="G39" i="2" s="1"/>
  <c r="G40" i="2"/>
  <c r="E208" i="2"/>
  <c r="G208" i="2" s="1"/>
  <c r="E182" i="2"/>
  <c r="E173" i="2" s="1"/>
  <c r="G183" i="2"/>
  <c r="E70" i="2"/>
  <c r="G70" i="2" s="1"/>
  <c r="G71" i="2"/>
  <c r="E147" i="2"/>
  <c r="G147" i="2" s="1"/>
  <c r="G151" i="2"/>
  <c r="E27" i="2"/>
  <c r="G27" i="2" s="1"/>
  <c r="G28" i="2"/>
  <c r="E64" i="2"/>
  <c r="G64" i="2" s="1"/>
  <c r="G93" i="2" l="1"/>
  <c r="E92" i="2"/>
  <c r="E105" i="2"/>
  <c r="G105" i="2" s="1"/>
  <c r="G108" i="2"/>
  <c r="E235" i="2"/>
  <c r="G235" i="2" s="1"/>
  <c r="G242" i="2"/>
  <c r="G182" i="2"/>
  <c r="E117" i="2"/>
  <c r="G117" i="2" s="1"/>
  <c r="G173" i="2" l="1"/>
  <c r="E167" i="2"/>
  <c r="E87" i="2"/>
  <c r="G92" i="2"/>
  <c r="E83" i="2" l="1"/>
  <c r="G87" i="2"/>
  <c r="G167" i="2"/>
  <c r="E166" i="2"/>
  <c r="G166" i="2" s="1"/>
  <c r="G83" i="2" l="1"/>
  <c r="E9" i="2"/>
  <c r="G9" i="2" l="1"/>
  <c r="E264" i="2"/>
  <c r="G264" i="2" s="1"/>
</calcChain>
</file>

<file path=xl/sharedStrings.xml><?xml version="1.0" encoding="utf-8"?>
<sst xmlns="http://schemas.openxmlformats.org/spreadsheetml/2006/main" count="770" uniqueCount="483">
  <si>
    <t>Гл. администратор</t>
  </si>
  <si>
    <t>006</t>
  </si>
  <si>
    <t>НАЛОГОВЫЕ И НЕНАЛОГОВЫЕ ДОХОДЫ</t>
  </si>
  <si>
    <t>ШТРАФЫ, САНКЦИИ, ВОЗМЕЩЕНИЕ УЩЕРБА</t>
  </si>
  <si>
    <t>048</t>
  </si>
  <si>
    <t>ПЛАТЕЖИ ПРИ ПОЛЬЗОВАНИИ ПРИРОДНЫМИ РЕСУРСАМИ</t>
  </si>
  <si>
    <t>Плата за сбросы загрязняющих веществ в водные объекты</t>
  </si>
  <si>
    <t>НАЛОГИ НА ТОВАРЫ (РАБОТЫ, УСЛУГИ), РЕАЛИЗУЕМЫЕ НА ТЕРРИТОРИИ РОССИЙСКОЙ ФЕДЕРАЦИИ</t>
  </si>
  <si>
    <t>182</t>
  </si>
  <si>
    <t>НАЛОГИ НА ПРИБЫЛЬ, ДОХОДЫ</t>
  </si>
  <si>
    <t>Налог на прибыль организаций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</si>
  <si>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</si>
  <si>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Налог на доходы физических лиц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</si>
  <si>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</si>
  <si>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СОВОКУПНЫЙ ДОХОД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</si>
  <si>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</si>
  <si>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</si>
  <si>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</si>
  <si>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</si>
  <si>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</si>
  <si>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</si>
  <si>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</si>
  <si>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</si>
  <si>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</si>
  <si>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</si>
  <si>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439</t>
  </si>
  <si>
    <t>906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</si>
  <si>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</si>
  <si>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</si>
  <si>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составляющего казну городских округов (за исключением земельных участков)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</si>
  <si>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</si>
  <si>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</si>
  <si>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</si>
  <si>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</si>
  <si>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</si>
  <si>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АДМИНИСТРАТИВНЫЕ ПЛАТЕЖИ И СБОРЫ</t>
  </si>
  <si>
    <t>Платежи, взимаемые органами местного самоуправления (организациями) городских округов за выполнение определенных функций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</si>
  <si>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</si>
  <si>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ПРОЧИЕ НЕНАЛОГОВЫЕ ДОХОДЫ</t>
  </si>
  <si>
    <t>ПРОЧИЕ БЕЗВОЗМЕЗДНЫЕ ПОСТУПЛЕНИЯ</t>
  </si>
  <si>
    <t>Прочие безвозмездные поступления в бюджеты городских округов</t>
  </si>
  <si>
    <t>975</t>
  </si>
  <si>
    <t>Прочие доходы от оказания платных услуг (работ) получателями средств бюджетов городских округов</t>
  </si>
  <si>
    <t>Код классификации доходов бюджета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</si>
  <si>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</t>
  </si>
  <si>
    <t>000</t>
  </si>
  <si>
    <t>1 00 00000 00 0000 000</t>
  </si>
  <si>
    <t>1 01 00000 00 0000 000</t>
  </si>
  <si>
    <t>1 01 01000 00 0000 110</t>
  </si>
  <si>
    <t>1 01 01012 02 0000 110</t>
  </si>
  <si>
    <t>1 01 01010 00 0000 110</t>
  </si>
  <si>
    <t>Налог на прибыль организаций, зачисляемый в бюджеты бюджетной системы Российской Федерации по соответствующим ставкам</t>
  </si>
  <si>
    <t>1 01 02000 01 0000 110</t>
  </si>
  <si>
    <t>1 01 02010 01 0000 110</t>
  </si>
  <si>
    <t>1 01 02020 01 0000 110</t>
  </si>
  <si>
    <t>1 01 02030 01 0000 110</t>
  </si>
  <si>
    <t>1 01 02040 01 0000 110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</si>
  <si>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</si>
  <si>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</si>
  <si>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</si>
  <si>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1 01 02080 01 0000 110</t>
  </si>
  <si>
    <t>1 03 00000 00 0000 000</t>
  </si>
  <si>
    <t>1 03 02231 01 0000 110</t>
  </si>
  <si>
    <t>1 03 02241 01 0000 110</t>
  </si>
  <si>
    <t>1 03 02251 01 0000 110</t>
  </si>
  <si>
    <t>1 03 02261 01 0000 110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</si>
  <si>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</si>
  <si>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</si>
  <si>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</si>
  <si>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</si>
  <si>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</si>
  <si>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</si>
  <si>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</si>
  <si>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</si>
  <si>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</si>
  <si>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</si>
  <si>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</si>
  <si>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</si>
  <si>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Налог, взимаемый в связи с применением упрощенной системы налогообложения</t>
  </si>
  <si>
    <t>1 05 00000 00 0000 000</t>
  </si>
  <si>
    <t>1 05 01000 00 0000 00</t>
  </si>
  <si>
    <t>1 05 01011 01 0000 110</t>
  </si>
  <si>
    <t>1 05 01021 01 0000 110</t>
  </si>
  <si>
    <t>1 05 01010 01 0000 110</t>
  </si>
  <si>
    <t>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</si>
  <si>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</si>
  <si>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1 05 02010 02 0000 110</t>
  </si>
  <si>
    <t>1 05 02000 02 0000 110</t>
  </si>
  <si>
    <t>1 05 04000 02 0000 110</t>
  </si>
  <si>
    <t>Налог, взимаемый в связи с применением патентной системы налогообложения</t>
  </si>
  <si>
    <t>1 05 04010 02 0000 110</t>
  </si>
  <si>
    <t>1 06 00000 00 0000 000</t>
  </si>
  <si>
    <t>1 06 01020 04 0000 110</t>
  </si>
  <si>
    <t>Налог на имущество физических лиц</t>
  </si>
  <si>
    <t>1 06 01000 00 0000 110</t>
  </si>
  <si>
    <t>Земельный налог</t>
  </si>
  <si>
    <t>1 06 06000 00 0000 110</t>
  </si>
  <si>
    <t>1 06 06032 04 0000 110</t>
  </si>
  <si>
    <t>1 06 06030 00 0000 110</t>
  </si>
  <si>
    <t>Земельный налог с организаций</t>
  </si>
  <si>
    <t>1 06 06040 00 0000 110</t>
  </si>
  <si>
    <t>Земельный налог с физических лиц</t>
  </si>
  <si>
    <t>1 06 06042 04 0000 110</t>
  </si>
  <si>
    <t>1 08 00000 00 0000 000</t>
  </si>
  <si>
    <t>1 08 03010 01 0000 110</t>
  </si>
  <si>
    <t>Государственная пошлина по делам, рассматриваемым в судах общей юрисдикции, мировыми судьями</t>
  </si>
  <si>
    <t>1 08 03000 01 0000 110</t>
  </si>
  <si>
    <t>1 08 07000 01 0000 110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</si>
  <si>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</si>
  <si>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1 11 00000 00 0000 000</t>
  </si>
  <si>
    <t>1 11 05012 04 0000 120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</si>
  <si>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</si>
  <si>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</si>
  <si>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</si>
  <si>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1 11 05024 04 0000 120</t>
  </si>
  <si>
    <t>1 11 05074 04 0000 120</t>
  </si>
  <si>
    <t>1 11 09044 04 0000 120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</si>
  <si>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</si>
  <si>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1 11 09000 00 0000 120</t>
  </si>
  <si>
    <t>1 11 09080 04 0000 120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</si>
  <si>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конструкцийна землях илиземельных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</si>
  <si>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1 11 09080 00 0000 120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</si>
  <si>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</si>
  <si>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1 11 09080 04 0006 120</t>
  </si>
  <si>
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разграничена( установка и эксплуатация рекламных конструкций) </t>
  </si>
  <si>
    <t>1 11 09044 00 0000 120</t>
  </si>
  <si>
    <t>1 12 00000 00 0000 000</t>
  </si>
  <si>
    <t>1 12 01010 01 0000 120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</si>
  <si>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</si>
  <si>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</si>
  <si>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1 12 01000 01 0000 120</t>
  </si>
  <si>
    <t>1 12 01030 01 0000 120</t>
  </si>
  <si>
    <t>Плата за размещение отходов производства и потребления</t>
  </si>
  <si>
    <t>1 13 000000 00 000 000</t>
  </si>
  <si>
    <t>1 13 01994 04 0000 130</t>
  </si>
  <si>
    <t>Доходы от оказания платных услуг (работ)</t>
  </si>
  <si>
    <t>1 13 01000 00 0000 130</t>
  </si>
  <si>
    <t>Прочие доходы от оказания платных услуг (работ)</t>
  </si>
  <si>
    <t>1 13 01990 00 0000 130</t>
  </si>
  <si>
    <t>Доходы от компенсации затрат государства</t>
  </si>
  <si>
    <t>1 13 02000 00 0000 130</t>
  </si>
  <si>
    <t>1 14 00000 00 0000 000</t>
  </si>
  <si>
    <t>1 14 06012 04 0000 430</t>
  </si>
  <si>
    <t>Доходы от продажи земельных участков, находящихся в государственной и муниципальной собственности</t>
  </si>
  <si>
    <t>1 14 06000 00 0000 430</t>
  </si>
  <si>
    <t>1 14 06024 04 0000 430</t>
  </si>
  <si>
    <t>1 15 00000 00 0000 000</t>
  </si>
  <si>
    <t>1 15 02040 04 0000 140</t>
  </si>
  <si>
    <t>Платежи, взимаемые государственными и муниципальными органами (организациями) за выполнение определенных функций</t>
  </si>
  <si>
    <t>1 15 02000 00 0000 140</t>
  </si>
  <si>
    <t>1 16 00000 00 0000 000</t>
  </si>
  <si>
    <t>1 16 01053 01 0000 140</t>
  </si>
  <si>
    <t>Административные штрафы, установленные Кодексом Российской Федерации об административных правонарушениях</t>
  </si>
  <si>
    <t>1 16 01000 01 0000 140</t>
  </si>
  <si>
    <t>1 16 01063 01 0000 140</t>
  </si>
  <si>
    <t>1 16 01073 01 0000 140</t>
  </si>
  <si>
    <t>1 16 01083 01 0000 140</t>
  </si>
  <si>
    <t>1 16 01143 01 0000 140</t>
  </si>
  <si>
    <t>1 16 01153 01 0000 140</t>
  </si>
  <si>
    <t>1 16 01173 01 0000 140</t>
  </si>
  <si>
    <t>1 16 01193 01 0000 140</t>
  </si>
  <si>
    <t>1 16 01203 01 0000 140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</si>
  <si>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</si>
  <si>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</si>
  <si>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Платежи в целях возмещения
 причиненного ущерба (убытков)</t>
  </si>
  <si>
    <t>1 16 10000 00 0000 140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</si>
  <si>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</si>
  <si>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образованияпо нормативам, действовавшимв2019 году</t>
  </si>
  <si>
    <t>1 17 00000 00 0000 000</t>
  </si>
  <si>
    <t>Инициативные платежи</t>
  </si>
  <si>
    <t>1 17 15000 00 0000 150</t>
  </si>
  <si>
    <t>2 07 00000 00 0000 000</t>
  </si>
  <si>
    <t>2 07 04050 04 0000 150</t>
  </si>
  <si>
    <t>2 07 04000 04 0000 150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</si>
  <si>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</si>
  <si>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</si>
  <si>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</si>
  <si>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№
 строки</t>
  </si>
  <si>
    <t>Наименование 
Кода классификации доходов бюджета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</si>
  <si>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</si>
  <si>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</si>
  <si>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</si>
  <si>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</si>
  <si>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</si>
  <si>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</si>
  <si>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</si>
  <si>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</si>
  <si>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</si>
  <si>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2 00 00000 00 0000 000</t>
  </si>
  <si>
    <t>2 02 20000 00 0000 150</t>
  </si>
  <si>
    <t>2 02 00000 00 0000 150</t>
  </si>
  <si>
    <t>2 02 25304 00 0000 150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</si>
  <si>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</si>
  <si>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991</t>
  </si>
  <si>
    <t>2 02 25304 04 0000 150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</si>
  <si>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</si>
  <si>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2 02 25555 00 0000 150</t>
  </si>
  <si>
    <t>Субсидии бюджетам на реализацию программ формирования современной городской среды</t>
  </si>
  <si>
    <t>2 02 25555 04 0000 150</t>
  </si>
  <si>
    <t>Субсидии бюджетам городских округов на реализацию программ формирования современной городской среды</t>
  </si>
  <si>
    <t>2 02 29999 00 000 150</t>
  </si>
  <si>
    <t>Прочие субсидии</t>
  </si>
  <si>
    <t>2 02 29999 04 000 150</t>
  </si>
  <si>
    <t>Прочие субсидии бюджетам городских округов</t>
  </si>
  <si>
    <t>2 02 29999 04 7456 150</t>
  </si>
  <si>
    <t>Прочие субсидии бюджетам городских округов(на поддержку деятельности муниципальных молодежных центров)</t>
  </si>
  <si>
    <t>2 02 29999 04 7488 150</t>
  </si>
  <si>
    <t>Прочие субсидии бюджетам городских округов ( на комплектование книжных фондов библиотек)</t>
  </si>
  <si>
    <t>2 02 29999 04 7563 150</t>
  </si>
  <si>
    <t>Субвенции местным бюджетам на выполнение передаваемых полномочий субъектов Российской Федерации</t>
  </si>
  <si>
    <t>2 02 30024 04 0000 150</t>
  </si>
  <si>
    <t>Субвенции бюджетам городских округов на выполнение передаваемых полномочий субъектов Российской Федерации</t>
  </si>
  <si>
    <t>2 02 30024 04 0289 150</t>
  </si>
  <si>
    <t>Субвенции бюджетам городских округов на выполнение передаваемых полномочий субъектов Российской Федерации (на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7-2988))</t>
  </si>
  <si>
    <t>2 02 30024 04 7408 150</t>
  </si>
  <si>
    <t>Субвенции бюджетам городских округов на выполнение передаваемых полномочий субъектов Российской Федерации (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</si>
  <si>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>2 02 30024 04 7409 150</t>
  </si>
  <si>
    <t>2 02 30024 04 7429 150</t>
  </si>
  <si>
    <t>Субвенции бюджетам городских округов на выполнение передаваемых полномочий субъектов Российской Федерации (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</t>
  </si>
  <si>
    <t>2 02 30024 04 7514 150</t>
  </si>
  <si>
    <t>Субвенции бюджетам городских округов на выполнение передаваемых полномочий субъектов Российской Федерации (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</t>
  </si>
  <si>
    <t>2 02 30024 04 7518 150</t>
  </si>
  <si>
    <t xml:space="preserve"> Субвенции бюджетам городских округов на выполнение передаваемых полномочий субъектов Российской Федерации (на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</t>
  </si>
  <si>
    <t>2 02 30024 04 7519 150</t>
  </si>
  <si>
    <t>Субвенции бюджетам городских округов на выполнение передаваемых полномочий субъектов Российской Федерации (на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</t>
  </si>
  <si>
    <t>2 02 30024 04 7552 150</t>
  </si>
  <si>
    <t>2 02 30024 04 7554 150</t>
  </si>
  <si>
    <t>Субвенции бюджетам городских округов на выполнение передаваемых полномочий субъектов Российской Федерации (на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17-4379))</t>
  </si>
  <si>
    <t>2 02 30024 04 7564 150</t>
  </si>
  <si>
    <t>2 02 30024 04 7566 150</t>
  </si>
  <si>
    <t>Субвенции бюджетам городских округов на выполнение передаваемых полномочий субъектов Российской Федерации (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17-4377))</t>
  </si>
  <si>
    <t>2 02 30024 04 7570 150</t>
  </si>
  <si>
    <t>Субвенции бюджетам городских округов на выполнение передаваемых полномочий субъектов Российской Федерации ( на реализацию отдельных мер по обеспечению ограничения платы граждан за коммунальные услуги ( в соответствии с Законом края от 1 декабря 2014 года №7-2839 ))</t>
  </si>
  <si>
    <t>2 02 30024 04 7587 150</t>
  </si>
  <si>
    <t xml:space="preserve"> Субвенции бюджетам городских округов на выполнение передаваемых полномочий субъектов Российской Федерации (на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9-4225)) </t>
  </si>
  <si>
    <t>2 02 30024 04 7588 150</t>
  </si>
  <si>
    <t>Субвенции бюджетам городских округов на выполнение передаваемых полномочий субъектов Российской Федерации (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</si>
  <si>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>2 02 30024 04 7604 150</t>
  </si>
  <si>
    <t>Субвенции бюджетам городских округов на выполнение передаваемых полномочий субъектов Российской Федерации (на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21-5589))</t>
  </si>
  <si>
    <t>2 02 30024 04 7649 150</t>
  </si>
  <si>
    <t>Субвенции бюджетам городских округов на выполнение передаваемых полномочий субъектов Российской Федерации (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5-1533))</t>
  </si>
  <si>
    <t>2 02 30024 04 7846 150</t>
  </si>
  <si>
    <t>Субвенции бюджетам городских округов на выполнение передаваемых полномочий субъектов Российской Федерации (обеспечение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</t>
  </si>
  <si>
    <t>2 02 30029 00 0000 150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</si>
  <si>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</si>
  <si>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2 02 30029 04 0000 150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</si>
  <si>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</si>
  <si>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2 02 35118 00 0000 150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</si>
  <si>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</si>
  <si>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2 02 35118 04 0000 150</t>
  </si>
  <si>
    <t>Субвенции бюджетам городских округов на осуществление первичного воинского учета органами местного самоуправления поселений, муниципальных и городских округов</t>
  </si>
  <si>
    <t>2 02 35120 00 0000 150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</si>
  <si>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</si>
  <si>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</si>
  <si>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</si>
  <si>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</t>
  </si>
  <si>
    <t>3</t>
  </si>
  <si>
    <t>4</t>
  </si>
  <si>
    <t>тыс.рублей</t>
  </si>
  <si>
    <t>1 08 07150 01 1000 110</t>
  </si>
  <si>
    <t>Государственная пошлина за выдачу разрешения на установку рекламной конструкции (сумма платежа)</t>
  </si>
  <si>
    <t>Субсидии бюджетам на поддержку отрасли культуры</t>
  </si>
  <si>
    <t>Субсидии бюджетам городских округов на поддержку отрасли культуры</t>
  </si>
  <si>
    <t>2 02 25519 00 0000 150</t>
  </si>
  <si>
    <t>2 02 25519 04 0000 150</t>
  </si>
  <si>
    <t>2 02 30000 00 0000 150</t>
  </si>
  <si>
    <t>1 12 01040 01 0000 120</t>
  </si>
  <si>
    <t>1 13 02064 04 0100 130</t>
  </si>
  <si>
    <t>1 13 02994 00 0000 130</t>
  </si>
  <si>
    <t>Прочие доходы от компенсации затрат 
бюджетов городских округов</t>
  </si>
  <si>
    <t>1 13 02994 04 0000 130</t>
  </si>
  <si>
    <t>938</t>
  </si>
  <si>
    <t>188</t>
  </si>
  <si>
    <t>Доходы, поступающие в порядке возмещения расходов, понесенных в связи с эксплуатацией имущества городских округов (в части имущества, находящегося в оперативном управлении)</t>
  </si>
  <si>
    <t>Доходы, поступающие в порядке возмещения расходов, понесенных в связи с эксплуатацией имущества</t>
  </si>
  <si>
    <t>1 13 02060 00 0000 130</t>
  </si>
  <si>
    <t xml:space="preserve">Прочие доходы от компенсации затрат бюджетов </t>
  </si>
  <si>
    <t>1 13 02060 04 0000 130</t>
  </si>
  <si>
    <t>Доходы, поступающие в порядке возмещения расходов, понесенных в связи с эксплуатацией имущества  городских округов</t>
  </si>
  <si>
    <t>Прочие доходы от компенсации затрат  бюджетов городских округов  (в части оплаты восстановительной стоимости сносимых зеленых насаждений)</t>
  </si>
  <si>
    <t>1 13 02994 04 0100 130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</si>
  <si>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</t>
  </si>
  <si>
    <t>1 16 10100 01 0000 140</t>
  </si>
  <si>
    <t>1 12 01041 01 0000 120</t>
  </si>
  <si>
    <t>Плата за размещение отходов производства</t>
  </si>
  <si>
    <t>1 16 10100 00 0000 140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</si>
  <si>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</si>
  <si>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Прочие субсидии бюджетам городских округов ( на приведение зданий и сооружений общеобразовательных организаций в соответствие с требованиями законодательствана)</t>
  </si>
  <si>
    <t>Прочие субсидии бюджетам городских округов (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законодательства)</t>
  </si>
  <si>
    <t>2 02 29999 04 7582 150</t>
  </si>
  <si>
    <t>Субвенции бюджетам городских округов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</si>
  <si>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 xml:space="preserve">Субвенции бюджетам городских округов на выполнение передаваемых полномочий субъектов Российской Федерации ( на 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4-1089)) </t>
  </si>
  <si>
    <t>Субвенции бюджетам городских округов на выполнение передаваемых полномочий субъектов Российской Федерации (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</si>
  <si>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 xml:space="preserve">1 01 02130 01 0000 110
</t>
  </si>
  <si>
    <t xml:space="preserve"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
</t>
  </si>
  <si>
    <t>1 05 03010 01 0000 110</t>
  </si>
  <si>
    <t>Единый сельскохозяйственный налог</t>
  </si>
  <si>
    <t>1 16 01133 01 0000 140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</si>
  <si>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</si>
  <si>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2 02 29999 04 7583 150</t>
  </si>
  <si>
    <t>Прочие субсидии бюджетам городских округов ( 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организациях)</t>
  </si>
  <si>
    <t>2 02 19999 04 2724 150</t>
  </si>
  <si>
    <t>Дотации бюджетам бюджетной системы Российской Федерации</t>
  </si>
  <si>
    <t>ВСЕГО</t>
  </si>
  <si>
    <t xml:space="preserve">2 19 0000 00 0000 000 </t>
  </si>
  <si>
    <t>Возврат прочих остатков субсидий, субвенций и иных межбюджетных трансфертов, имеющих целевое назначение, прошлых лет</t>
  </si>
  <si>
    <t xml:space="preserve">2 19 25304 04 0000 150 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</si>
  <si>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</si>
  <si>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 xml:space="preserve">2 19 60010 04 0000 150 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</si>
  <si>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</si>
  <si>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2 02 49999 00 0000 150</t>
  </si>
  <si>
    <t>Прочие межбюджетные трансферты , передаваемые бюджетам</t>
  </si>
  <si>
    <t>2 02 49999 04 0000 150</t>
  </si>
  <si>
    <t>Прочие межбюджетные трансферты , передаваемые бюджетам городских округов</t>
  </si>
  <si>
    <t>2 02 49999 04 1024 150</t>
  </si>
  <si>
    <t>Прочие межбюджетные трансферты , передаваемые бюджетам городских округов( на финансовое обеспечение (возмещение) расходов на увеличение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 программных расходов)</t>
  </si>
  <si>
    <t>Прочие межбюджетные трансферты бюджетам городских округов( на оснащение предметных кабинетов общеобразовательных организаций средствами обучения и воспитания в рамках регионального проекта «Все лучшее детям» государственной программы Красноярского края «Развитие образования»)</t>
  </si>
  <si>
    <t>2 02 49999 04 0853 150</t>
  </si>
  <si>
    <t>Прочие межбюджетные трансферты, передаваемые бюджетам городских округов (на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операции)</t>
  </si>
  <si>
    <t>2 02 49999 04 7848 150</t>
  </si>
  <si>
    <t>Прочие межбюджетные трансферты, передаваемые бюджетам городских округов (на устройство спортивных сооружений в сельской местности )</t>
  </si>
  <si>
    <t>2 02 40000 00 0000 150</t>
  </si>
  <si>
    <t>Иные межбюджетные трансферты</t>
  </si>
  <si>
    <t>2 02 45050 00 0000 150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</si>
  <si>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</si>
  <si>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2 02 45050 04 0000 150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</si>
  <si>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</si>
  <si>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2 02 45303 00 0000 150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</si>
  <si>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</si>
  <si>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2 02 45303 04 0000 150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</si>
  <si>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</si>
  <si>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2 02 45179 00 0000 150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</si>
  <si>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</si>
  <si>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2 02 45179 04 0000 150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</si>
  <si>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</si>
  <si>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2 02 29999 04 7480 150</t>
  </si>
  <si>
    <t>Прочие субсидии бюджетам городских округов (на организацию туристско-рекреационных зон на территории Красноярского края )</t>
  </si>
  <si>
    <t>2 02 49999 04 7412 150</t>
  </si>
  <si>
    <t>Прочие межбюджетные трансферты, передаваемые бюджетам городских округов (на обеспечение первичных мер пожарной безопасности)</t>
  </si>
  <si>
    <t>2 02 29999 04 9116 150</t>
  </si>
  <si>
    <t xml:space="preserve">Прочие субсидии бюджетам городских округов( на капитальный ремонт и ремонт автомобильных дорог общего пользования местного значения за счет средств дорожного фонда Красноярского края) </t>
  </si>
  <si>
    <t>2 02 25497 00 0000 150</t>
  </si>
  <si>
    <t>Субсидии бюджетам городских округов на реализацию мероприятий по обеспечению жильем молодых семей</t>
  </si>
  <si>
    <t>2 02 25497 04 0000 150</t>
  </si>
  <si>
    <t>Субсидии бюджетам на реализацию мероприятий по обеспечению жильем молодых семей</t>
  </si>
  <si>
    <t>1 13 02994 00 0310 130</t>
  </si>
  <si>
    <t xml:space="preserve">Прочие доходы от компенсации затрат  бюджетов городских округов (в части возврата дебиторской задолженности прошлых лет краевых целевых средств по предписаниям) </t>
  </si>
  <si>
    <t>032</t>
  </si>
  <si>
    <t>Прочие дотации бюджетам городских округов( дотации бюджетам муниципальных образований края на частичную компенсацию расходов на повышение оплаты труда отдельным категориям работников бюджетной сферы)</t>
  </si>
  <si>
    <t>2 02 29999 04 7451 150</t>
  </si>
  <si>
    <t xml:space="preserve">Прочие субсидии бюджетам городских округов (для поощрения муниципальных образований - победителей конкурса лучших проектов создания комфортной городской среды) </t>
  </si>
  <si>
    <t>2 02 29999 04 7461 150</t>
  </si>
  <si>
    <t>Прочие субсидии бюджетам городских округов (на строительство муниципальных объектов коммунальной и транспортной инфраструктуры)</t>
  </si>
  <si>
    <t>2 02 29999 04 7568 150</t>
  </si>
  <si>
    <t>Прочие субсидии бюджетам городских округов (на увеличение охвата детей, обучающихся по дополнительным общеразвивающим программам)</t>
  </si>
  <si>
    <t>2 02 29999 04 9114 150</t>
  </si>
  <si>
    <t>Прочие субсидии бюджетам городских округов (на осуществление дорожной деятельности в целях решения задач социально-экономического развития территорий за счет средств дорожного фонда Красноярского края)</t>
  </si>
  <si>
    <t>2 02 49999 04 5559 150</t>
  </si>
  <si>
    <t>2 02 49999 04 7418 150</t>
  </si>
  <si>
    <t>Прочие межбюджетные трансферты, передаваемые бюджетам городских округов (на поддержку физкультурно-спортивных клубов по месту жительства )</t>
  </si>
  <si>
    <t>2 02 49999 04 7555 150</t>
  </si>
  <si>
    <t>Прочие межбюджетные трансферты, передаваемые бюджетам городских округов (на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комплекса процессных мероприятий «Профилактика заболеваний и формирование здорового образа жизни. Обеспечение первичной медико-санитарной помощи, паллиативной помощи»)</t>
  </si>
  <si>
    <t>2 02 49999 04 7691 150</t>
  </si>
  <si>
    <t>Прочие межбюджетные трансферты передаваемые бюджетам городских округов ( на 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 в рамках ведомственного проекта "Развитие земельно-имущественных отношений муниципальных образований края")</t>
  </si>
  <si>
    <t>2 02 35082 04 0000 150</t>
  </si>
  <si>
    <t>2 02 35082 00 0000 150</t>
  </si>
  <si>
    <t>Субвенции бюджетам городских округов на 
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</si>
  <si>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на 
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</si>
  <si>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2 02 29999 04 7840 150</t>
  </si>
  <si>
    <t>Прочие субсидии бюджетам городских округов (на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качества)</t>
  </si>
  <si>
    <t>2 02 49999 04 7745 150</t>
  </si>
  <si>
    <t>Прочие межбюджетные трансферты, передаваемые бюджетам городских округов (за содействие развитию налогового потенциала)</t>
  </si>
  <si>
    <t>2 02 49999 04 7641 150</t>
  </si>
  <si>
    <t>Прочие межбюджетные трансферты, передаваемые бюджетам городских округов (на осуществление расходов, направленных на реализацию мероприятий по поддержке местных инициатив)</t>
  </si>
  <si>
    <t xml:space="preserve">1 01 02140 01 0000 110
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</si>
  <si>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</si>
  <si>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 xml:space="preserve">1 01 02150 01 0000 110
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</si>
  <si>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</t>
  </si>
  <si>
    <t xml:space="preserve">1 01 02210 01 0000 110
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</si>
  <si>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</si>
  <si>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1 01 02230 01 0000 110
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</si>
  <si>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</si>
  <si>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1 13 02994 04 0200 130</t>
  </si>
  <si>
    <t xml:space="preserve">Прочие доходы от компенсации затрат  бюджетов городских округов (в части возврата дебиторской задолженности прошлых лет по средствам местного бюджета) </t>
  </si>
  <si>
    <t>1 13 02994 00 0300 130</t>
  </si>
  <si>
    <t xml:space="preserve">Прочие доходы от компенсации затрат  бюджетов городских округов (в части возврата дебиторской задолженности прошлых лет краевых целевых средств) </t>
  </si>
  <si>
    <t>00</t>
  </si>
  <si>
    <t>1 13 02994 04 0500 130</t>
  </si>
  <si>
    <t>Прочие доходы от компенсации затрат  бюджетов городских округов ( в части возмещения сумм госпошлины, ранее уплаченнной при обращении в суд)</t>
  </si>
  <si>
    <t>1 14 02040 04 0000410</t>
  </si>
  <si>
    <t>Доходы от реализации  имущества,находящегося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</si>
  <si>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1 14 02043 04 0000410</t>
  </si>
  <si>
    <t>Доходы от реализации иного имущества,находящегося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</si>
  <si>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1 16 02000 02 0000 140
</t>
  </si>
  <si>
    <t>1 16 07010 04 0000140</t>
  </si>
  <si>
    <t xml:space="preserve"> Штрафы, неустойки, пени, уплаченные в случае просрочки исполнения поставщиком(подрядчиком,исполнителем) обязательств, предусмотренных муниципальным контрактом</t>
  </si>
  <si>
    <t xml:space="preserve"> Штрафы, неустойки, пени, уплаченные в случае просрочки исполнения поставщиком(подрядчиком,исполнителем) обязательств, предусмотренных муниципальным контрактом, заключённым муниципальным органом, казённым учреждением городского округа</t>
  </si>
  <si>
    <t>1 16 10032 04 0000 140</t>
  </si>
  <si>
    <t xml:space="preserve"> Прочее возмещение ущерба, причинённого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</si>
  <si>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2 02 29999 04 7436 150</t>
  </si>
  <si>
    <t>Прочие субсидии бюджетам городских округов(на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организациях)</t>
  </si>
  <si>
    <t>2 02 29999 04 7437 150</t>
  </si>
  <si>
    <t>Прочие субсидии бюджетам городских округов (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спорта)</t>
  </si>
  <si>
    <t>2 02 29999 04 7482 150</t>
  </si>
  <si>
    <t>Прочие субсидии бюджетам городских округов (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молодежи)</t>
  </si>
  <si>
    <t>2 02 29999 04 7559 150</t>
  </si>
  <si>
    <t>Прочие субсидии бюджетам городских округов ( на проведение мероприятий по обеспечению антитеррористической защищенности объектов образования)</t>
  </si>
  <si>
    <t>2 02 29999 04 7693 150</t>
  </si>
  <si>
    <t>Прочие субсидии бюджетам городских округов (на поддержку и продвижение событийных мероприятий  на территории края с количеством посетителей не менее 1 тысячи человек в рамках регионального проекта «Создание номерного фонда, инфраструктуры и новых точек притяжения» государственной программы Красноярского края «Развитие туризма»)</t>
  </si>
  <si>
    <t>2 04 04020 00 0000 150</t>
  </si>
  <si>
    <t xml:space="preserve">Поступления от денежных пожертвований, предоставляемых негосударственными организациями </t>
  </si>
  <si>
    <t>2 04 04020 04 0000 150</t>
  </si>
  <si>
    <t>Поступления от денежных пожертвований, предоставляемых негосударственными организациями получателям средств  бюджетов городских округов</t>
  </si>
  <si>
    <t>2 02 29999 04 2650 150</t>
  </si>
  <si>
    <t>Прочие субсидии бюджетам городских округов (выполнение требований федеральных стандартов спортивной подготовки)</t>
  </si>
  <si>
    <t>2 02 29999 04 2654 150</t>
  </si>
  <si>
    <t>Прочие субсидии бюджетам городских округов (на развитие детско-юношеского спорта)</t>
  </si>
  <si>
    <t>2 02 29999 04 7449 150</t>
  </si>
  <si>
    <t>Прочие субсидии бюджетам городских округов (на государственную поддержку комплексного развития муниципальных учреждений культуры и образовательных организаций в области культуры в рамках ведомственного проекта «Сохранение культурного и исторического наследия» государственной программы Красноярского края «Развитие культуры»)</t>
  </si>
  <si>
    <t>2 02 29999 04 7470 150</t>
  </si>
  <si>
    <t>Прочие субсидии бюджетам городских округов (на создание условий для предоставления горячего питания обучающимся общеобразовательных организаций)</t>
  </si>
  <si>
    <t>2 02 29999 04 7472 150</t>
  </si>
  <si>
    <t>Прочие субсидии бюджетам городских округов (на обеспечение развития и укрепления материально-технической базы домов культуры в населенных пунктах с числом жителей до 50 тысяч человек)</t>
  </si>
  <si>
    <t>2 02 29999 04 7661 150</t>
  </si>
  <si>
    <t xml:space="preserve">Прочие субсидии бюджетам городских округов ( на реализацию инвестиционных проектов субъектами малого и среднего предпринимательства в приоритетных отраслях) </t>
  </si>
  <si>
    <t>956</t>
  </si>
  <si>
    <t>1 17 15020 04 0011 150</t>
  </si>
  <si>
    <t>Инициативные платежи, зачисляемые в бюджеты городских округов (ППМИ поступления от юридических лиц)</t>
  </si>
  <si>
    <t>1 17 15020 04 0012 150</t>
  </si>
  <si>
    <t>Инициативные платежи, зачисляемые в бюджеты городских округов (ППМИ поступления от физических лиц)</t>
  </si>
  <si>
    <t xml:space="preserve"> 2 02 49999 04 7664 150</t>
  </si>
  <si>
    <t>Прочие межбюджетные трансферты передаваемые бюджетам городских округов (на государственную поддержку муниципальных комплексных проектов развития в рамках ведомственного проекта «Комплексное территориальное развитие» государственной программы Красноярского края «Поддержка комплексного развития территорий и содействие развитию местного самоуправления»)</t>
  </si>
  <si>
    <t>1 03 03000 01 0000 110</t>
  </si>
  <si>
    <t xml:space="preserve">Туристический налог </t>
  </si>
  <si>
    <t>1 03 03000 01 1000 110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</si>
  <si>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</si>
  <si>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1 17 15020 04 0005 150</t>
  </si>
  <si>
    <t>Инициативные платежи, зачисляемые в бюджеты городских округов ( Благоустройство лестницы, расположенной в районе жилого дома по ул.Машиностроителей,6)</t>
  </si>
  <si>
    <t>2 02 29999 04 7571 150</t>
  </si>
  <si>
    <t>Прочие субсидии бюджетам городских округов (на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вод)</t>
  </si>
  <si>
    <t>2 02 49999 04 1011 150</t>
  </si>
  <si>
    <t>Резервный фонд Правительства Красноярского края в рамках непрограммных расходов</t>
  </si>
  <si>
    <t>1 01 02160 01 0000 110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</si>
  <si>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39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35 и 36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9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</t>
  </si>
  <si>
    <t>1 01 02200 01 0000 110</t>
  </si>
  <si>
    <t>Налог на доходы физических лиц в части суммы налога, относящейся к налоговой базе, указанной в пункте 6.1 статьи 210 Налогового кодекса Российской Федерации, не превышающей 5 миллионов рублей, за налоговые периоды после 1 января 2025 года(пересчеты, недоимка и задолженность по соответствующему платежу)</t>
  </si>
  <si>
    <t>1 11 05034 04 0000 120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</si>
  <si>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бюджетных и автономных учреждений)</t>
  </si>
  <si>
    <t>2 02 10000 00 0000 150</t>
  </si>
  <si>
    <t>2 02 15002 00 0000 150</t>
  </si>
  <si>
    <t>Дотации бюджетам  на поддержку мер по обеспечению сбалансированности бюджетов</t>
  </si>
  <si>
    <t xml:space="preserve"> 2 02 15002 04 0000 150</t>
  </si>
  <si>
    <t>Дотации бюджетам городских округов на поддержку мер по обеспечению сбалансированности бюджетов</t>
  </si>
  <si>
    <t>2 02 19999 00 0000 150</t>
  </si>
  <si>
    <t>Прочие дотации</t>
  </si>
  <si>
    <t>178</t>
  </si>
  <si>
    <t xml:space="preserve">1 16 01194 01 0000 140 </t>
  </si>
  <si>
    <t xml:space="preserve">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</si>
  <si>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1 16 09040 00 0000 140</t>
  </si>
  <si>
    <t>Денежные средства , взимаемые в собственность городского округав соответствии с решениями судов (за исключением обвинительных приговоров судов)</t>
  </si>
  <si>
    <t>1 16 09040 04 0000 140</t>
  </si>
  <si>
    <t>1 16 10129 01 0000 140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</si>
  <si>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 (иные штрафы)</t>
  </si>
  <si>
    <t>1 16 11110 01 0000 140</t>
  </si>
  <si>
    <t>Платежи по искам о возмещении вреда, причиненного атмосферному воздуху, а также платежи, уплачиваемые при добровольном возмещении вреда, причиненному атмосферному воздуху, подлежащие зачислению в бюджет муниципального образования( за исключением вреда, причиненного на особо охраняемых природных территориях)</t>
  </si>
  <si>
    <t xml:space="preserve">                   Исполнение 
</t>
  </si>
  <si>
    <t xml:space="preserve">% исполнения
</t>
  </si>
  <si>
    <t>1 03 02000 01 0000 000</t>
  </si>
  <si>
    <t>Акцизы по подакзизным товарам (продукции), производимым на трритории Российской Федерации</t>
  </si>
  <si>
    <t>1 16 07010 04 0000 140</t>
  </si>
  <si>
    <t>1 16 07090 00 0000 140</t>
  </si>
  <si>
    <t>1 16 07090 04 0000 140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</si>
  <si>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</si>
  <si>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</si>
  <si>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1 16 07000 00 0000140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</si>
  <si>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</si>
  <si>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1 16 11000 01 0000 140</t>
  </si>
  <si>
    <t>Платежи, уплачиваемые в целях возмещения вреда</t>
  </si>
  <si>
    <t>1 17 01040 04 0000 150</t>
  </si>
  <si>
    <t>Невыясненные поступления, зачисляемые в бюджеты городских округов</t>
  </si>
  <si>
    <t xml:space="preserve">Доходы  бюджета  городского округа город Дивногорск Красноярского края за 2025 год </t>
  </si>
  <si>
    <r>
      <rPr>
        <b/>
        <sz val="12"/>
        <rFont val="Times New Roman"/>
        <family val="1"/>
        <charset val="204"/>
      </rPr>
      <t>Приложение 2</t>
    </r>
    <r>
      <rPr>
        <sz val="12"/>
        <rFont val="Times New Roman"/>
        <family val="1"/>
        <charset val="204"/>
      </rPr>
      <t xml:space="preserve">
к  решению  Дивногорского городского  Совета  депутатов
от 27.05.2026  № 8 -43 - НПА
«Об исполнении  бюджета  городского округа город  Дивногорск Красноярского края за  2025год"</t>
    </r>
  </si>
  <si>
    <t xml:space="preserve"> План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</si>
</sst>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?"/>
    <numFmt numFmtId="166" formatCode="#,##0.0"/>
    <numFmt numFmtId="167" formatCode="#,##0.00000"/>
    <numFmt numFmtId="168" formatCode="0.0"/>
    <numFmt numFmtId="169" formatCode="#,##0.000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</cellStyleXfs>
  <cellXfs count="100">
    <xf numFmtId="0" fontId="0" fillId="0" borderId="0" xfId="0"/>
    <xf numFmtId="0" fontId="6" fillId="0" borderId="0" xfId="0" applyFont="1"/>
    <xf numFmtId="0" fontId="7" fillId="2" borderId="0" xfId="0" applyNumberFormat="1" applyFont="1" applyFill="1" applyAlignment="1">
      <alignment horizontal="right" wrapText="1"/>
    </xf>
    <xf numFmtId="0" fontId="7" fillId="0" borderId="0" xfId="4" applyFont="1" applyAlignment="1">
      <alignment horizontal="right" vertical="top" wrapText="1"/>
    </xf>
    <xf numFmtId="0" fontId="7" fillId="0" borderId="0" xfId="0" applyFont="1" applyBorder="1" applyAlignment="1" applyProtection="1">
      <alignment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166" fontId="8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166" fontId="7" fillId="2" borderId="1" xfId="0" applyNumberFormat="1" applyFont="1" applyFill="1" applyBorder="1" applyAlignment="1" applyProtection="1">
      <alignment horizontal="center" vertical="center" wrapText="1"/>
    </xf>
    <xf numFmtId="165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>
      <alignment wrapText="1"/>
    </xf>
    <xf numFmtId="0" fontId="11" fillId="2" borderId="1" xfId="7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49" fontId="7" fillId="2" borderId="1" xfId="10" applyNumberFormat="1" applyFont="1" applyFill="1" applyBorder="1" applyAlignment="1" applyProtection="1">
      <alignment horizontal="left" vertical="center" wrapText="1"/>
    </xf>
    <xf numFmtId="165" fontId="8" fillId="2" borderId="1" xfId="0" applyNumberFormat="1" applyFont="1" applyFill="1" applyBorder="1" applyAlignment="1" applyProtection="1">
      <alignment horizontal="left" vertical="center" wrapText="1"/>
    </xf>
    <xf numFmtId="165" fontId="7" fillId="2" borderId="1" xfId="11" applyNumberFormat="1" applyFont="1" applyFill="1" applyBorder="1" applyAlignment="1" applyProtection="1">
      <alignment horizontal="left" vertical="center" wrapText="1"/>
    </xf>
    <xf numFmtId="49" fontId="8" fillId="2" borderId="1" xfId="8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top" wrapText="1"/>
    </xf>
    <xf numFmtId="49" fontId="7" fillId="2" borderId="1" xfId="8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top" wrapText="1"/>
    </xf>
    <xf numFmtId="49" fontId="8" fillId="2" borderId="1" xfId="8" applyNumberFormat="1" applyFont="1" applyFill="1" applyBorder="1" applyAlignment="1" applyProtection="1">
      <alignment horizontal="left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justify" vertical="top" wrapText="1"/>
    </xf>
    <xf numFmtId="49" fontId="7" fillId="2" borderId="1" xfId="8" applyNumberFormat="1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>
      <alignment wrapText="1"/>
    </xf>
    <xf numFmtId="0" fontId="7" fillId="2" borderId="1" xfId="8" applyNumberFormat="1" applyFont="1" applyFill="1" applyBorder="1" applyAlignment="1" applyProtection="1">
      <alignment horizontal="left" wrapText="1"/>
    </xf>
    <xf numFmtId="0" fontId="7" fillId="2" borderId="1" xfId="8" applyNumberFormat="1" applyFont="1" applyFill="1" applyBorder="1" applyAlignment="1" applyProtection="1">
      <alignment horizontal="left" vertical="center" wrapText="1"/>
    </xf>
    <xf numFmtId="165" fontId="7" fillId="2" borderId="1" xfId="8" applyNumberFormat="1" applyFont="1" applyFill="1" applyBorder="1" applyAlignment="1" applyProtection="1">
      <alignment horizontal="left" vertical="center" wrapText="1"/>
    </xf>
    <xf numFmtId="165" fontId="8" fillId="2" borderId="1" xfId="8" applyNumberFormat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vertical="center"/>
    </xf>
    <xf numFmtId="49" fontId="7" fillId="2" borderId="1" xfId="8" applyNumberFormat="1" applyFont="1" applyFill="1" applyBorder="1" applyAlignment="1" applyProtection="1">
      <alignment vertical="center" wrapText="1"/>
    </xf>
    <xf numFmtId="0" fontId="10" fillId="2" borderId="1" xfId="0" applyFont="1" applyFill="1" applyBorder="1" applyAlignment="1">
      <alignment vertical="center"/>
    </xf>
    <xf numFmtId="0" fontId="13" fillId="2" borderId="1" xfId="0" applyNumberFormat="1" applyFont="1" applyFill="1" applyBorder="1" applyAlignment="1">
      <alignment wrapText="1"/>
    </xf>
    <xf numFmtId="0" fontId="7" fillId="2" borderId="1" xfId="7" applyNumberFormat="1" applyFont="1" applyFill="1" applyBorder="1" applyAlignment="1">
      <alignment horizontal="center" vertical="center" wrapText="1"/>
    </xf>
    <xf numFmtId="0" fontId="7" fillId="2" borderId="1" xfId="7" applyNumberFormat="1" applyFont="1" applyFill="1" applyBorder="1" applyAlignment="1">
      <alignment horizontal="left" vertical="center" wrapText="1"/>
    </xf>
    <xf numFmtId="0" fontId="7" fillId="2" borderId="1" xfId="7" applyNumberFormat="1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7" fontId="7" fillId="2" borderId="1" xfId="0" applyNumberFormat="1" applyFont="1" applyFill="1" applyBorder="1" applyAlignment="1">
      <alignment horizontal="center" vertical="center"/>
    </xf>
    <xf numFmtId="0" fontId="11" fillId="2" borderId="1" xfId="7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 applyProtection="1">
      <alignment horizontal="left" wrapText="1"/>
    </xf>
    <xf numFmtId="0" fontId="7" fillId="2" borderId="1" xfId="0" applyNumberFormat="1" applyFont="1" applyFill="1" applyBorder="1" applyAlignment="1" applyProtection="1">
      <alignment horizontal="left" wrapText="1"/>
    </xf>
    <xf numFmtId="49" fontId="8" fillId="2" borderId="1" xfId="0" applyNumberFormat="1" applyFont="1" applyFill="1" applyBorder="1" applyAlignment="1" applyProtection="1">
      <alignment horizontal="left" wrapText="1"/>
    </xf>
    <xf numFmtId="49" fontId="7" fillId="2" borderId="1" xfId="0" applyNumberFormat="1" applyFont="1" applyFill="1" applyBorder="1" applyAlignment="1" applyProtection="1">
      <alignment horizontal="left" wrapText="1"/>
    </xf>
    <xf numFmtId="0" fontId="10" fillId="2" borderId="1" xfId="0" applyFont="1" applyFill="1" applyBorder="1" applyAlignment="1">
      <alignment horizontal="left" wrapText="1"/>
    </xf>
    <xf numFmtId="49" fontId="9" fillId="2" borderId="1" xfId="0" applyNumberFormat="1" applyFont="1" applyFill="1" applyBorder="1" applyAlignment="1" applyProtection="1">
      <alignment horizontal="left" wrapText="1"/>
    </xf>
    <xf numFmtId="49" fontId="7" fillId="2" borderId="1" xfId="0" applyNumberFormat="1" applyFont="1" applyFill="1" applyBorder="1" applyAlignment="1" applyProtection="1">
      <alignment horizontal="center" wrapText="1"/>
    </xf>
    <xf numFmtId="0" fontId="13" fillId="0" borderId="0" xfId="0" applyFont="1"/>
    <xf numFmtId="0" fontId="14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 applyProtection="1">
      <alignment horizontal="left" vertical="center" wrapText="1"/>
    </xf>
    <xf numFmtId="49" fontId="15" fillId="2" borderId="1" xfId="0" applyNumberFormat="1" applyFont="1" applyFill="1" applyBorder="1" applyAlignment="1" applyProtection="1">
      <alignment horizontal="left" wrapText="1"/>
    </xf>
    <xf numFmtId="49" fontId="9" fillId="2" borderId="1" xfId="8" applyNumberFormat="1" applyFont="1" applyFill="1" applyBorder="1" applyAlignment="1" applyProtection="1">
      <alignment horizontal="left" vertical="center" wrapText="1"/>
    </xf>
    <xf numFmtId="0" fontId="9" fillId="2" borderId="1" xfId="8" applyNumberFormat="1" applyFont="1" applyFill="1" applyBorder="1" applyAlignment="1" applyProtection="1">
      <alignment horizontal="left" vertical="center" wrapText="1"/>
    </xf>
    <xf numFmtId="166" fontId="8" fillId="2" borderId="1" xfId="9" applyNumberFormat="1" applyFont="1" applyFill="1" applyBorder="1" applyAlignment="1">
      <alignment horizontal="center"/>
    </xf>
    <xf numFmtId="168" fontId="7" fillId="0" borderId="1" xfId="0" applyNumberFormat="1" applyFont="1" applyBorder="1" applyAlignment="1">
      <alignment horizontal="center" vertical="center"/>
    </xf>
    <xf numFmtId="43" fontId="7" fillId="0" borderId="1" xfId="9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 applyProtection="1">
      <alignment horizontal="center" vertical="center" wrapText="1"/>
    </xf>
    <xf numFmtId="4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left" vertical="top" wrapText="1"/>
    </xf>
    <xf numFmtId="49" fontId="8" fillId="2" borderId="1" xfId="8" applyNumberFormat="1" applyFont="1" applyFill="1" applyBorder="1" applyAlignment="1" applyProtection="1">
      <alignment vertical="center" wrapText="1"/>
    </xf>
    <xf numFmtId="0" fontId="14" fillId="2" borderId="1" xfId="0" applyFont="1" applyFill="1" applyBorder="1" applyAlignment="1">
      <alignment wrapText="1"/>
    </xf>
    <xf numFmtId="169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166" fontId="8" fillId="2" borderId="1" xfId="1" applyNumberFormat="1" applyFont="1" applyFill="1" applyBorder="1" applyAlignment="1">
      <alignment horizontal="center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wrapText="1"/>
    </xf>
    <xf numFmtId="0" fontId="7" fillId="2" borderId="1" xfId="8" applyNumberFormat="1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68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4" applyFont="1" applyAlignment="1">
      <alignment horizontal="right" vertical="top" wrapText="1"/>
    </xf>
    <xf numFmtId="0" fontId="0" fillId="0" borderId="0" xfId="0" applyAlignment="1"/>
    <xf numFmtId="0" fontId="8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6" fillId="0" borderId="0" xfId="7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right" wrapText="1"/>
    </xf>
  </cellXfs>
  <cellStyles count="12">
    <cellStyle name="Обычный" xfId="0" builtinId="0"/>
    <cellStyle name="Обычный 2" xfId="2"/>
    <cellStyle name="Обычный 3" xfId="3"/>
    <cellStyle name="Обычный_ДЧБ" xfId="1"/>
    <cellStyle name="Обычный_ДЧБ_2" xfId="8"/>
    <cellStyle name="Обычный_Лист1" xfId="7"/>
    <cellStyle name="Обычный_Лист1_1" xfId="10"/>
    <cellStyle name="Обычный_Приложение 5  доходов  2021_1" xfId="11"/>
    <cellStyle name="Стиль 1" xfId="4"/>
    <cellStyle name="Финансовый" xfId="9" builtinId="3"/>
    <cellStyle name="Финансовый 2" xfId="5"/>
    <cellStyle name="Финансовый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4"/>
  <sheetViews>
    <sheetView tabSelected="1" topLeftCell="A4" workbookViewId="0">
      <selection activeCell="N11" sqref="N11"/>
    </sheetView>
  </sheetViews>
  <sheetFormatPr defaultColWidth="8.88671875" defaultRowHeight="13.2" x14ac:dyDescent="0.25"/>
  <cols>
    <col min="1" max="1" width="4.5546875" style="1" customWidth="1"/>
    <col min="2" max="2" width="6.109375" style="1" customWidth="1"/>
    <col min="3" max="3" width="23.109375" style="1" customWidth="1"/>
    <col min="4" max="4" width="42.5546875" style="1" customWidth="1"/>
    <col min="5" max="5" width="14" style="1" customWidth="1"/>
    <col min="6" max="6" width="15.33203125" style="1" customWidth="1"/>
    <col min="7" max="7" width="8.44140625" style="1" customWidth="1"/>
    <col min="8" max="16384" width="8.88671875" style="1"/>
  </cols>
  <sheetData>
    <row r="1" spans="1:7" ht="9" customHeight="1" x14ac:dyDescent="0.3">
      <c r="C1" s="2"/>
      <c r="D1" s="2"/>
      <c r="E1" s="2"/>
    </row>
    <row r="2" spans="1:7" ht="73.2" customHeight="1" x14ac:dyDescent="0.25">
      <c r="A2" s="91" t="s">
        <v>481</v>
      </c>
      <c r="B2" s="91"/>
      <c r="C2" s="91"/>
      <c r="D2" s="91"/>
      <c r="E2" s="91"/>
      <c r="F2" s="92"/>
      <c r="G2" s="92"/>
    </row>
    <row r="3" spans="1:7" ht="16.2" customHeight="1" x14ac:dyDescent="0.25">
      <c r="B3" s="3"/>
      <c r="C3" s="3"/>
      <c r="D3" s="3"/>
      <c r="E3" s="3"/>
    </row>
    <row r="4" spans="1:7" ht="21" customHeight="1" x14ac:dyDescent="0.25">
      <c r="A4" s="98" t="s">
        <v>480</v>
      </c>
      <c r="B4" s="98"/>
      <c r="C4" s="98"/>
      <c r="D4" s="98"/>
      <c r="E4" s="98"/>
      <c r="F4" s="98"/>
      <c r="G4" s="98"/>
    </row>
    <row r="5" spans="1:7" ht="13.2" customHeight="1" x14ac:dyDescent="0.3">
      <c r="A5" s="53"/>
      <c r="B5" s="4"/>
      <c r="C5" s="4"/>
      <c r="D5" s="4"/>
      <c r="F5" s="99" t="s">
        <v>258</v>
      </c>
      <c r="G5" s="99"/>
    </row>
    <row r="6" spans="1:7" ht="13.2" customHeight="1" x14ac:dyDescent="0.25">
      <c r="A6" s="94" t="s">
        <v>177</v>
      </c>
      <c r="B6" s="96" t="s">
        <v>0</v>
      </c>
      <c r="C6" s="96" t="s">
        <v>43</v>
      </c>
      <c r="D6" s="96" t="s">
        <v>178</v>
      </c>
      <c r="E6" s="97" t="s">
        <v>482</v>
      </c>
      <c r="F6" s="90" t="s">
        <v>465</v>
      </c>
      <c r="G6" s="90" t="s">
        <v>466</v>
      </c>
    </row>
    <row r="7" spans="1:7" ht="48.6" customHeight="1" x14ac:dyDescent="0.25">
      <c r="A7" s="95"/>
      <c r="B7" s="96"/>
      <c r="C7" s="96"/>
      <c r="D7" s="96"/>
      <c r="E7" s="97"/>
      <c r="F7" s="90"/>
      <c r="G7" s="90"/>
    </row>
    <row r="8" spans="1:7" ht="16.95" customHeight="1" x14ac:dyDescent="0.25">
      <c r="A8" s="55">
        <v>1</v>
      </c>
      <c r="B8" s="73" t="s">
        <v>255</v>
      </c>
      <c r="C8" s="73" t="s">
        <v>256</v>
      </c>
      <c r="D8" s="73" t="s">
        <v>257</v>
      </c>
      <c r="E8" s="74">
        <v>5</v>
      </c>
      <c r="F8" s="75">
        <v>6</v>
      </c>
      <c r="G8" s="75">
        <v>7</v>
      </c>
    </row>
    <row r="9" spans="1:7" ht="31.2" x14ac:dyDescent="0.25">
      <c r="A9" s="55">
        <f>A8+1</f>
        <v>2</v>
      </c>
      <c r="B9" s="5" t="s">
        <v>45</v>
      </c>
      <c r="C9" s="5" t="s">
        <v>46</v>
      </c>
      <c r="D9" s="6" t="s">
        <v>2</v>
      </c>
      <c r="E9" s="7">
        <f>E10+E27+E39+E51+E59+E64+E77+E83+E105+E113+E117+E159</f>
        <v>1040982.5592600001</v>
      </c>
      <c r="F9" s="7">
        <f>F10+F27+F39+F51+F59+F64+F77+F83+F105+F113+F117+F159</f>
        <v>1088083.9349700001</v>
      </c>
      <c r="G9" s="89">
        <f>F9/E9*100</f>
        <v>104.5247036360996</v>
      </c>
    </row>
    <row r="10" spans="1:7" ht="15.6" x14ac:dyDescent="0.25">
      <c r="A10" s="88">
        <f t="shared" ref="A10:A73" si="0">A9+1</f>
        <v>3</v>
      </c>
      <c r="B10" s="5" t="s">
        <v>45</v>
      </c>
      <c r="C10" s="5" t="s">
        <v>47</v>
      </c>
      <c r="D10" s="6" t="s">
        <v>9</v>
      </c>
      <c r="E10" s="7">
        <f>E11+E14</f>
        <v>779153.45136000006</v>
      </c>
      <c r="F10" s="7">
        <f>F11+F14</f>
        <v>814183.7</v>
      </c>
      <c r="G10" s="89">
        <f t="shared" ref="G10:G73" si="1">F10/E10*100</f>
        <v>104.49593704280653</v>
      </c>
    </row>
    <row r="11" spans="1:7" ht="15.6" x14ac:dyDescent="0.25">
      <c r="A11" s="88">
        <f t="shared" si="0"/>
        <v>4</v>
      </c>
      <c r="B11" s="5" t="s">
        <v>45</v>
      </c>
      <c r="C11" s="5" t="s">
        <v>48</v>
      </c>
      <c r="D11" s="6" t="s">
        <v>10</v>
      </c>
      <c r="E11" s="7">
        <f>E13</f>
        <v>468098.09036000003</v>
      </c>
      <c r="F11" s="7">
        <f>F13</f>
        <v>493013.6</v>
      </c>
      <c r="G11" s="89">
        <f t="shared" si="1"/>
        <v>105.32271123363014</v>
      </c>
    </row>
    <row r="12" spans="1:7" ht="62.4" x14ac:dyDescent="0.25">
      <c r="A12" s="88">
        <f t="shared" si="0"/>
        <v>5</v>
      </c>
      <c r="B12" s="73" t="s">
        <v>45</v>
      </c>
      <c r="C12" s="73" t="s">
        <v>50</v>
      </c>
      <c r="D12" s="8" t="s">
        <v>51</v>
      </c>
      <c r="E12" s="7">
        <f>E13</f>
        <v>468098.09036000003</v>
      </c>
      <c r="F12" s="7">
        <f>F13</f>
        <v>493013.6</v>
      </c>
      <c r="G12" s="89">
        <f t="shared" si="1"/>
        <v>105.32271123363014</v>
      </c>
    </row>
    <row r="13" spans="1:7" ht="78" x14ac:dyDescent="0.25">
      <c r="A13" s="88">
        <f t="shared" si="0"/>
        <v>6</v>
      </c>
      <c r="B13" s="73" t="s">
        <v>8</v>
      </c>
      <c r="C13" s="73" t="s">
        <v>49</v>
      </c>
      <c r="D13" s="8" t="s">
        <v>11</v>
      </c>
      <c r="E13" s="9">
        <f>344572.9+6525.19036+20000+35000+12000+50000</f>
        <v>468098.09036000003</v>
      </c>
      <c r="F13" s="62">
        <v>493013.6</v>
      </c>
      <c r="G13" s="61">
        <f t="shared" si="1"/>
        <v>105.32271123363014</v>
      </c>
    </row>
    <row r="14" spans="1:7" ht="15.6" x14ac:dyDescent="0.25">
      <c r="A14" s="88">
        <f t="shared" si="0"/>
        <v>7</v>
      </c>
      <c r="B14" s="5" t="s">
        <v>45</v>
      </c>
      <c r="C14" s="5" t="s">
        <v>52</v>
      </c>
      <c r="D14" s="6" t="s">
        <v>12</v>
      </c>
      <c r="E14" s="7">
        <f>SUM(E15:E26)</f>
        <v>311055.36100000003</v>
      </c>
      <c r="F14" s="7">
        <f>SUM(F15:F26)</f>
        <v>321170.10000000003</v>
      </c>
      <c r="G14" s="89">
        <f t="shared" si="1"/>
        <v>103.25174881007757</v>
      </c>
    </row>
    <row r="15" spans="1:7" ht="124.8" x14ac:dyDescent="0.25">
      <c r="A15" s="88">
        <f t="shared" si="0"/>
        <v>8</v>
      </c>
      <c r="B15" s="73" t="s">
        <v>8</v>
      </c>
      <c r="C15" s="73" t="s">
        <v>53</v>
      </c>
      <c r="D15" s="10" t="s">
        <v>44</v>
      </c>
      <c r="E15" s="9">
        <f>350767.8-18010+5-90000-12960-20000-12170.479-1059</f>
        <v>196573.321</v>
      </c>
      <c r="F15" s="63">
        <v>203300.1</v>
      </c>
      <c r="G15" s="61">
        <f t="shared" si="1"/>
        <v>103.42202032594241</v>
      </c>
    </row>
    <row r="16" spans="1:7" ht="171.6" x14ac:dyDescent="0.25">
      <c r="A16" s="88">
        <f t="shared" si="0"/>
        <v>9</v>
      </c>
      <c r="B16" s="73" t="s">
        <v>8</v>
      </c>
      <c r="C16" s="73" t="s">
        <v>54</v>
      </c>
      <c r="D16" s="10" t="s">
        <v>57</v>
      </c>
      <c r="E16" s="9">
        <f>1500+125.14-300+18.6+150</f>
        <v>1493.74</v>
      </c>
      <c r="F16" s="63">
        <v>1168</v>
      </c>
      <c r="G16" s="61">
        <f t="shared" si="1"/>
        <v>78.192992086976304</v>
      </c>
    </row>
    <row r="17" spans="1:7" ht="78" x14ac:dyDescent="0.25">
      <c r="A17" s="88">
        <f t="shared" si="0"/>
        <v>10</v>
      </c>
      <c r="B17" s="73" t="s">
        <v>8</v>
      </c>
      <c r="C17" s="73" t="s">
        <v>55</v>
      </c>
      <c r="D17" s="8" t="s">
        <v>13</v>
      </c>
      <c r="E17" s="9">
        <f>4631.2+18.6+400+468.8</f>
        <v>5518.6</v>
      </c>
      <c r="F17" s="63">
        <v>5453</v>
      </c>
      <c r="G17" s="61">
        <f t="shared" si="1"/>
        <v>98.811292719167895</v>
      </c>
    </row>
    <row r="18" spans="1:7" ht="140.4" x14ac:dyDescent="0.25">
      <c r="A18" s="88">
        <f t="shared" si="0"/>
        <v>11</v>
      </c>
      <c r="B18" s="73" t="s">
        <v>8</v>
      </c>
      <c r="C18" s="73" t="s">
        <v>56</v>
      </c>
      <c r="D18" s="10" t="s">
        <v>58</v>
      </c>
      <c r="E18" s="9">
        <f>6964.9+1035.1+300+1500</f>
        <v>9800</v>
      </c>
      <c r="F18" s="63">
        <v>9298.7999999999993</v>
      </c>
      <c r="G18" s="61">
        <f t="shared" si="1"/>
        <v>94.885714285714272</v>
      </c>
    </row>
    <row r="19" spans="1:7" ht="140.4" x14ac:dyDescent="0.25">
      <c r="A19" s="88">
        <f t="shared" si="0"/>
        <v>12</v>
      </c>
      <c r="B19" s="73" t="s">
        <v>8</v>
      </c>
      <c r="C19" s="73" t="s">
        <v>60</v>
      </c>
      <c r="D19" s="11" t="s">
        <v>59</v>
      </c>
      <c r="E19" s="9">
        <f>5327.6-2000+472.4+400</f>
        <v>4200</v>
      </c>
      <c r="F19" s="63">
        <v>4712.7</v>
      </c>
      <c r="G19" s="61">
        <f t="shared" si="1"/>
        <v>112.20714285714286</v>
      </c>
    </row>
    <row r="20" spans="1:7" ht="140.4" x14ac:dyDescent="0.25">
      <c r="A20" s="88">
        <f t="shared" si="0"/>
        <v>13</v>
      </c>
      <c r="B20" s="73" t="s">
        <v>8</v>
      </c>
      <c r="C20" s="73" t="s">
        <v>293</v>
      </c>
      <c r="D20" s="11" t="s">
        <v>294</v>
      </c>
      <c r="E20" s="9">
        <f>913.4+286.6+200</f>
        <v>1400</v>
      </c>
      <c r="F20" s="63">
        <v>1465.4</v>
      </c>
      <c r="G20" s="61">
        <f t="shared" si="1"/>
        <v>104.67142857142858</v>
      </c>
    </row>
    <row r="21" spans="1:7" ht="78" x14ac:dyDescent="0.25">
      <c r="A21" s="88">
        <f t="shared" si="0"/>
        <v>14</v>
      </c>
      <c r="B21" s="73" t="s">
        <v>8</v>
      </c>
      <c r="C21" s="73" t="s">
        <v>374</v>
      </c>
      <c r="D21" s="11" t="s">
        <v>375</v>
      </c>
      <c r="E21" s="9">
        <f>350+5000+500</f>
        <v>5850</v>
      </c>
      <c r="F21" s="63">
        <v>5725.5</v>
      </c>
      <c r="G21" s="61">
        <f t="shared" si="1"/>
        <v>97.871794871794876</v>
      </c>
    </row>
    <row r="22" spans="1:7" ht="409.6" x14ac:dyDescent="0.25">
      <c r="A22" s="88">
        <f t="shared" si="0"/>
        <v>15</v>
      </c>
      <c r="B22" s="73" t="s">
        <v>8</v>
      </c>
      <c r="C22" s="73" t="s">
        <v>376</v>
      </c>
      <c r="D22" s="11" t="s">
        <v>377</v>
      </c>
      <c r="E22" s="9">
        <f>500.1+3500-500+300</f>
        <v>3800.1</v>
      </c>
      <c r="F22" s="63">
        <v>4058.8</v>
      </c>
      <c r="G22" s="61">
        <f t="shared" si="1"/>
        <v>106.80771558643194</v>
      </c>
    </row>
    <row r="23" spans="1:7" ht="409.6" x14ac:dyDescent="0.25">
      <c r="A23" s="88">
        <f t="shared" si="0"/>
        <v>16</v>
      </c>
      <c r="B23" s="73" t="s">
        <v>8</v>
      </c>
      <c r="C23" s="73" t="s">
        <v>442</v>
      </c>
      <c r="D23" s="11" t="s">
        <v>443</v>
      </c>
      <c r="E23" s="9">
        <f>350+350</f>
        <v>700</v>
      </c>
      <c r="F23" s="63">
        <v>629.70000000000005</v>
      </c>
      <c r="G23" s="61">
        <f t="shared" si="1"/>
        <v>89.95714285714287</v>
      </c>
    </row>
    <row r="24" spans="1:7" ht="140.4" x14ac:dyDescent="0.25">
      <c r="A24" s="88">
        <f t="shared" si="0"/>
        <v>17</v>
      </c>
      <c r="B24" s="73" t="s">
        <v>8</v>
      </c>
      <c r="C24" s="73" t="s">
        <v>444</v>
      </c>
      <c r="D24" s="11" t="s">
        <v>445</v>
      </c>
      <c r="E24" s="9">
        <v>2</v>
      </c>
      <c r="F24" s="63">
        <v>3</v>
      </c>
      <c r="G24" s="61">
        <f t="shared" si="1"/>
        <v>150</v>
      </c>
    </row>
    <row r="25" spans="1:7" ht="93.6" x14ac:dyDescent="0.25">
      <c r="A25" s="88">
        <f t="shared" si="0"/>
        <v>18</v>
      </c>
      <c r="B25" s="73" t="s">
        <v>8</v>
      </c>
      <c r="C25" s="73" t="s">
        <v>378</v>
      </c>
      <c r="D25" s="11" t="s">
        <v>379</v>
      </c>
      <c r="E25" s="9">
        <f>20000+80000-5000-10000-3587.4</f>
        <v>81412.600000000006</v>
      </c>
      <c r="F25" s="63">
        <v>84994.7</v>
      </c>
      <c r="G25" s="61">
        <f t="shared" si="1"/>
        <v>104.39993317987633</v>
      </c>
    </row>
    <row r="26" spans="1:7" ht="109.2" x14ac:dyDescent="0.25">
      <c r="A26" s="88">
        <f t="shared" si="0"/>
        <v>19</v>
      </c>
      <c r="B26" s="73" t="s">
        <v>8</v>
      </c>
      <c r="C26" s="73" t="s">
        <v>380</v>
      </c>
      <c r="D26" s="11" t="s">
        <v>381</v>
      </c>
      <c r="E26" s="9">
        <f>5+300</f>
        <v>305</v>
      </c>
      <c r="F26" s="63">
        <v>360.4</v>
      </c>
      <c r="G26" s="61">
        <f t="shared" si="1"/>
        <v>118.1639344262295</v>
      </c>
    </row>
    <row r="27" spans="1:7" ht="62.4" x14ac:dyDescent="0.25">
      <c r="A27" s="88">
        <f t="shared" si="0"/>
        <v>20</v>
      </c>
      <c r="B27" s="5" t="s">
        <v>45</v>
      </c>
      <c r="C27" s="5" t="s">
        <v>61</v>
      </c>
      <c r="D27" s="6" t="s">
        <v>7</v>
      </c>
      <c r="E27" s="7">
        <f>E28+E37</f>
        <v>5211.3999999999996</v>
      </c>
      <c r="F27" s="7">
        <f>F29+F31+F33+F35+F37</f>
        <v>5158.2</v>
      </c>
      <c r="G27" s="61">
        <f t="shared" si="1"/>
        <v>98.979161069962004</v>
      </c>
    </row>
    <row r="28" spans="1:7" ht="46.8" x14ac:dyDescent="0.25">
      <c r="A28" s="88">
        <f t="shared" si="0"/>
        <v>21</v>
      </c>
      <c r="B28" s="5" t="s">
        <v>45</v>
      </c>
      <c r="C28" s="5" t="s">
        <v>467</v>
      </c>
      <c r="D28" s="6" t="s">
        <v>468</v>
      </c>
      <c r="E28" s="7">
        <f>E30+E32+E34+E36</f>
        <v>4211.3999999999996</v>
      </c>
      <c r="F28" s="7">
        <f>F30+F32+F34+F36</f>
        <v>4291.25</v>
      </c>
      <c r="G28" s="61">
        <f t="shared" si="1"/>
        <v>101.89604407085531</v>
      </c>
    </row>
    <row r="29" spans="1:7" ht="109.2" x14ac:dyDescent="0.25">
      <c r="A29" s="88">
        <f t="shared" si="0"/>
        <v>22</v>
      </c>
      <c r="B29" s="73" t="s">
        <v>45</v>
      </c>
      <c r="C29" s="73" t="s">
        <v>66</v>
      </c>
      <c r="D29" s="8" t="s">
        <v>67</v>
      </c>
      <c r="E29" s="9">
        <f>E30</f>
        <v>2188.4</v>
      </c>
      <c r="F29" s="9">
        <f>F30</f>
        <v>2176.9</v>
      </c>
      <c r="G29" s="61">
        <f t="shared" si="1"/>
        <v>99.474501919210383</v>
      </c>
    </row>
    <row r="30" spans="1:7" ht="187.2" x14ac:dyDescent="0.25">
      <c r="A30" s="88">
        <f t="shared" si="0"/>
        <v>23</v>
      </c>
      <c r="B30" s="73" t="s">
        <v>8</v>
      </c>
      <c r="C30" s="73" t="s">
        <v>62</v>
      </c>
      <c r="D30" s="10" t="s">
        <v>68</v>
      </c>
      <c r="E30" s="9">
        <v>2188.4</v>
      </c>
      <c r="F30" s="63">
        <v>2176.9</v>
      </c>
      <c r="G30" s="61">
        <f t="shared" si="1"/>
        <v>99.474501919210383</v>
      </c>
    </row>
    <row r="31" spans="1:7" ht="140.4" x14ac:dyDescent="0.25">
      <c r="A31" s="88">
        <f t="shared" si="0"/>
        <v>24</v>
      </c>
      <c r="B31" s="73" t="s">
        <v>45</v>
      </c>
      <c r="C31" s="73" t="s">
        <v>69</v>
      </c>
      <c r="D31" s="10" t="s">
        <v>70</v>
      </c>
      <c r="E31" s="9">
        <f>E32</f>
        <v>11.2</v>
      </c>
      <c r="F31" s="9">
        <f>F32</f>
        <v>12.7</v>
      </c>
      <c r="G31" s="61">
        <f t="shared" si="1"/>
        <v>113.39285714285714</v>
      </c>
    </row>
    <row r="32" spans="1:7" ht="218.4" x14ac:dyDescent="0.25">
      <c r="A32" s="88">
        <f t="shared" si="0"/>
        <v>25</v>
      </c>
      <c r="B32" s="73" t="s">
        <v>8</v>
      </c>
      <c r="C32" s="73" t="s">
        <v>63</v>
      </c>
      <c r="D32" s="10" t="s">
        <v>71</v>
      </c>
      <c r="E32" s="9">
        <v>11.2</v>
      </c>
      <c r="F32" s="63">
        <v>12.7</v>
      </c>
      <c r="G32" s="61">
        <f t="shared" si="1"/>
        <v>113.39285714285714</v>
      </c>
    </row>
    <row r="33" spans="1:7" ht="124.8" x14ac:dyDescent="0.25">
      <c r="A33" s="88">
        <f t="shared" si="0"/>
        <v>26</v>
      </c>
      <c r="B33" s="73" t="s">
        <v>45</v>
      </c>
      <c r="C33" s="73" t="s">
        <v>72</v>
      </c>
      <c r="D33" s="10" t="s">
        <v>73</v>
      </c>
      <c r="E33" s="9">
        <f>E34</f>
        <v>2248.3000000000002</v>
      </c>
      <c r="F33" s="9">
        <f>F34</f>
        <v>2319.3000000000002</v>
      </c>
      <c r="G33" s="61">
        <f t="shared" si="1"/>
        <v>103.15794155584219</v>
      </c>
    </row>
    <row r="34" spans="1:7" ht="187.2" x14ac:dyDescent="0.25">
      <c r="A34" s="88">
        <f t="shared" si="0"/>
        <v>27</v>
      </c>
      <c r="B34" s="73" t="s">
        <v>8</v>
      </c>
      <c r="C34" s="73" t="s">
        <v>64</v>
      </c>
      <c r="D34" s="10" t="s">
        <v>74</v>
      </c>
      <c r="E34" s="9">
        <v>2248.3000000000002</v>
      </c>
      <c r="F34" s="63">
        <v>2319.3000000000002</v>
      </c>
      <c r="G34" s="61">
        <f t="shared" si="1"/>
        <v>103.15794155584219</v>
      </c>
    </row>
    <row r="35" spans="1:7" ht="124.8" x14ac:dyDescent="0.25">
      <c r="A35" s="88">
        <f t="shared" si="0"/>
        <v>28</v>
      </c>
      <c r="B35" s="73" t="s">
        <v>45</v>
      </c>
      <c r="C35" s="73" t="s">
        <v>75</v>
      </c>
      <c r="D35" s="10" t="s">
        <v>76</v>
      </c>
      <c r="E35" s="9">
        <f>E36</f>
        <v>-236.5</v>
      </c>
      <c r="F35" s="65">
        <f>F36</f>
        <v>-217.65</v>
      </c>
      <c r="G35" s="61">
        <f t="shared" si="1"/>
        <v>92.029598308668085</v>
      </c>
    </row>
    <row r="36" spans="1:7" ht="187.2" x14ac:dyDescent="0.25">
      <c r="A36" s="88">
        <f t="shared" si="0"/>
        <v>29</v>
      </c>
      <c r="B36" s="73" t="s">
        <v>8</v>
      </c>
      <c r="C36" s="73" t="s">
        <v>65</v>
      </c>
      <c r="D36" s="10" t="s">
        <v>77</v>
      </c>
      <c r="E36" s="9">
        <f>-340.5+104</f>
        <v>-236.5</v>
      </c>
      <c r="F36" s="63">
        <v>-217.65</v>
      </c>
      <c r="G36" s="61">
        <f t="shared" si="1"/>
        <v>92.029598308668085</v>
      </c>
    </row>
    <row r="37" spans="1:7" ht="15.6" x14ac:dyDescent="0.25">
      <c r="A37" s="88">
        <f t="shared" si="0"/>
        <v>30</v>
      </c>
      <c r="B37" s="5" t="s">
        <v>45</v>
      </c>
      <c r="C37" s="5" t="s">
        <v>432</v>
      </c>
      <c r="D37" s="17" t="s">
        <v>433</v>
      </c>
      <c r="E37" s="7">
        <f>E38</f>
        <v>1000</v>
      </c>
      <c r="F37" s="7">
        <f>F38</f>
        <v>866.95</v>
      </c>
      <c r="G37" s="61">
        <f t="shared" si="1"/>
        <v>86.694999999999993</v>
      </c>
    </row>
    <row r="38" spans="1:7" ht="62.4" x14ac:dyDescent="0.25">
      <c r="A38" s="88">
        <f t="shared" si="0"/>
        <v>31</v>
      </c>
      <c r="B38" s="73" t="s">
        <v>8</v>
      </c>
      <c r="C38" s="73" t="s">
        <v>434</v>
      </c>
      <c r="D38" s="10" t="s">
        <v>435</v>
      </c>
      <c r="E38" s="9">
        <f>140+201.761+158.239+500</f>
        <v>1000</v>
      </c>
      <c r="F38" s="61">
        <v>866.95</v>
      </c>
      <c r="G38" s="61">
        <f t="shared" si="1"/>
        <v>86.694999999999993</v>
      </c>
    </row>
    <row r="39" spans="1:7" ht="15.6" x14ac:dyDescent="0.25">
      <c r="A39" s="88">
        <f t="shared" si="0"/>
        <v>32</v>
      </c>
      <c r="B39" s="73" t="s">
        <v>45</v>
      </c>
      <c r="C39" s="5" t="s">
        <v>79</v>
      </c>
      <c r="D39" s="6" t="s">
        <v>14</v>
      </c>
      <c r="E39" s="7">
        <f>E40+E45+E49+E47</f>
        <v>110723.52800000001</v>
      </c>
      <c r="F39" s="66">
        <f>F40+F45+F49+F47</f>
        <v>115900.54000000001</v>
      </c>
      <c r="G39" s="61">
        <f t="shared" si="1"/>
        <v>104.67562052394139</v>
      </c>
    </row>
    <row r="40" spans="1:7" ht="31.2" x14ac:dyDescent="0.25">
      <c r="A40" s="88">
        <f t="shared" si="0"/>
        <v>33</v>
      </c>
      <c r="B40" s="73" t="s">
        <v>45</v>
      </c>
      <c r="C40" s="73" t="s">
        <v>80</v>
      </c>
      <c r="D40" s="8" t="s">
        <v>78</v>
      </c>
      <c r="E40" s="9">
        <f>E41+E43</f>
        <v>96860.180000000008</v>
      </c>
      <c r="F40" s="9">
        <f>F41+F43</f>
        <v>94049.2</v>
      </c>
      <c r="G40" s="61">
        <f t="shared" si="1"/>
        <v>97.097899260562997</v>
      </c>
    </row>
    <row r="41" spans="1:7" ht="46.8" x14ac:dyDescent="0.25">
      <c r="A41" s="88">
        <f t="shared" si="0"/>
        <v>34</v>
      </c>
      <c r="B41" s="73" t="s">
        <v>45</v>
      </c>
      <c r="C41" s="73" t="s">
        <v>83</v>
      </c>
      <c r="D41" s="8" t="s">
        <v>15</v>
      </c>
      <c r="E41" s="9">
        <f>E42</f>
        <v>81865.33</v>
      </c>
      <c r="F41" s="9">
        <f>F42</f>
        <v>79771.5</v>
      </c>
      <c r="G41" s="61">
        <f t="shared" si="1"/>
        <v>97.442348305442607</v>
      </c>
    </row>
    <row r="42" spans="1:7" ht="46.8" x14ac:dyDescent="0.25">
      <c r="A42" s="88">
        <f t="shared" si="0"/>
        <v>35</v>
      </c>
      <c r="B42" s="73" t="s">
        <v>8</v>
      </c>
      <c r="C42" s="73" t="s">
        <v>81</v>
      </c>
      <c r="D42" s="8" t="s">
        <v>15</v>
      </c>
      <c r="E42" s="9">
        <f>60337.33+7500+28+10000+4000</f>
        <v>81865.33</v>
      </c>
      <c r="F42" s="63">
        <v>79771.5</v>
      </c>
      <c r="G42" s="61">
        <f t="shared" si="1"/>
        <v>97.442348305442607</v>
      </c>
    </row>
    <row r="43" spans="1:7" ht="62.4" x14ac:dyDescent="0.25">
      <c r="A43" s="88">
        <f t="shared" si="0"/>
        <v>36</v>
      </c>
      <c r="B43" s="73" t="s">
        <v>45</v>
      </c>
      <c r="C43" s="73" t="s">
        <v>84</v>
      </c>
      <c r="D43" s="8" t="s">
        <v>85</v>
      </c>
      <c r="E43" s="9">
        <f>E44</f>
        <v>14994.85</v>
      </c>
      <c r="F43" s="9">
        <f>F44</f>
        <v>14277.7</v>
      </c>
      <c r="G43" s="61">
        <f t="shared" si="1"/>
        <v>95.217357959566115</v>
      </c>
    </row>
    <row r="44" spans="1:7" ht="109.2" x14ac:dyDescent="0.25">
      <c r="A44" s="88">
        <f t="shared" si="0"/>
        <v>37</v>
      </c>
      <c r="B44" s="73" t="s">
        <v>8</v>
      </c>
      <c r="C44" s="73" t="s">
        <v>82</v>
      </c>
      <c r="D44" s="8" t="s">
        <v>16</v>
      </c>
      <c r="E44" s="9">
        <v>14994.85</v>
      </c>
      <c r="F44" s="63">
        <v>14277.7</v>
      </c>
      <c r="G44" s="61">
        <f t="shared" si="1"/>
        <v>95.217357959566115</v>
      </c>
    </row>
    <row r="45" spans="1:7" ht="31.2" x14ac:dyDescent="0.25">
      <c r="A45" s="88">
        <f t="shared" si="0"/>
        <v>38</v>
      </c>
      <c r="B45" s="73" t="s">
        <v>45</v>
      </c>
      <c r="C45" s="73" t="s">
        <v>87</v>
      </c>
      <c r="D45" s="8" t="s">
        <v>17</v>
      </c>
      <c r="E45" s="9">
        <f>E46</f>
        <v>8.4480000000000004</v>
      </c>
      <c r="F45" s="9">
        <f>F46</f>
        <v>7.6</v>
      </c>
      <c r="G45" s="61">
        <f t="shared" si="1"/>
        <v>89.962121212121204</v>
      </c>
    </row>
    <row r="46" spans="1:7" ht="31.2" x14ac:dyDescent="0.25">
      <c r="A46" s="88">
        <f t="shared" si="0"/>
        <v>39</v>
      </c>
      <c r="B46" s="73" t="s">
        <v>8</v>
      </c>
      <c r="C46" s="73" t="s">
        <v>86</v>
      </c>
      <c r="D46" s="8" t="s">
        <v>17</v>
      </c>
      <c r="E46" s="9">
        <f>43.6-18.8-16.352</f>
        <v>8.4480000000000004</v>
      </c>
      <c r="F46" s="63">
        <v>7.6</v>
      </c>
      <c r="G46" s="61">
        <f t="shared" si="1"/>
        <v>89.962121212121204</v>
      </c>
    </row>
    <row r="47" spans="1:7" ht="15.6" x14ac:dyDescent="0.25">
      <c r="A47" s="88">
        <f t="shared" si="0"/>
        <v>40</v>
      </c>
      <c r="B47" s="73" t="s">
        <v>45</v>
      </c>
      <c r="C47" s="73" t="s">
        <v>295</v>
      </c>
      <c r="D47" s="8" t="s">
        <v>296</v>
      </c>
      <c r="E47" s="9">
        <f>E48</f>
        <v>0</v>
      </c>
      <c r="F47" s="9">
        <f>F48</f>
        <v>0</v>
      </c>
      <c r="G47" s="61">
        <v>0</v>
      </c>
    </row>
    <row r="48" spans="1:7" ht="15.6" x14ac:dyDescent="0.25">
      <c r="A48" s="88">
        <f t="shared" si="0"/>
        <v>41</v>
      </c>
      <c r="B48" s="73" t="s">
        <v>8</v>
      </c>
      <c r="C48" s="73" t="s">
        <v>295</v>
      </c>
      <c r="D48" s="8" t="s">
        <v>296</v>
      </c>
      <c r="E48" s="9">
        <v>0</v>
      </c>
      <c r="F48" s="63">
        <v>0</v>
      </c>
      <c r="G48" s="61">
        <v>0</v>
      </c>
    </row>
    <row r="49" spans="1:7" ht="31.2" x14ac:dyDescent="0.25">
      <c r="A49" s="88">
        <f t="shared" si="0"/>
        <v>42</v>
      </c>
      <c r="B49" s="73" t="s">
        <v>45</v>
      </c>
      <c r="C49" s="73" t="s">
        <v>88</v>
      </c>
      <c r="D49" s="8" t="s">
        <v>89</v>
      </c>
      <c r="E49" s="9">
        <f>E50</f>
        <v>13854.9</v>
      </c>
      <c r="F49" s="65">
        <f>F50</f>
        <v>21843.74</v>
      </c>
      <c r="G49" s="61">
        <f t="shared" si="1"/>
        <v>157.66075540061641</v>
      </c>
    </row>
    <row r="50" spans="1:7" ht="62.4" x14ac:dyDescent="0.25">
      <c r="A50" s="88">
        <f t="shared" si="0"/>
        <v>43</v>
      </c>
      <c r="B50" s="73" t="s">
        <v>8</v>
      </c>
      <c r="C50" s="73" t="s">
        <v>90</v>
      </c>
      <c r="D50" s="8" t="s">
        <v>18</v>
      </c>
      <c r="E50" s="9">
        <f>13604.9+250</f>
        <v>13854.9</v>
      </c>
      <c r="F50" s="63">
        <v>21843.74</v>
      </c>
      <c r="G50" s="61">
        <f t="shared" si="1"/>
        <v>157.66075540061641</v>
      </c>
    </row>
    <row r="51" spans="1:7" ht="15.6" x14ac:dyDescent="0.25">
      <c r="A51" s="88">
        <f t="shared" si="0"/>
        <v>44</v>
      </c>
      <c r="B51" s="73" t="s">
        <v>45</v>
      </c>
      <c r="C51" s="5" t="s">
        <v>91</v>
      </c>
      <c r="D51" s="6" t="s">
        <v>19</v>
      </c>
      <c r="E51" s="7">
        <f>E52+E54</f>
        <v>46476.7</v>
      </c>
      <c r="F51" s="7">
        <f>F52+F54</f>
        <v>47162.100000000006</v>
      </c>
      <c r="G51" s="89">
        <f t="shared" si="1"/>
        <v>101.4747174390609</v>
      </c>
    </row>
    <row r="52" spans="1:7" ht="15.6" x14ac:dyDescent="0.25">
      <c r="A52" s="88">
        <f t="shared" si="0"/>
        <v>45</v>
      </c>
      <c r="B52" s="73" t="s">
        <v>45</v>
      </c>
      <c r="C52" s="73" t="s">
        <v>94</v>
      </c>
      <c r="D52" s="8" t="s">
        <v>93</v>
      </c>
      <c r="E52" s="9">
        <f>E53</f>
        <v>14705.2</v>
      </c>
      <c r="F52" s="9">
        <f>F53</f>
        <v>16420</v>
      </c>
      <c r="G52" s="61">
        <f t="shared" si="1"/>
        <v>111.66118107880206</v>
      </c>
    </row>
    <row r="53" spans="1:7" ht="78" x14ac:dyDescent="0.25">
      <c r="A53" s="88">
        <f t="shared" si="0"/>
        <v>46</v>
      </c>
      <c r="B53" s="73" t="s">
        <v>8</v>
      </c>
      <c r="C53" s="73" t="s">
        <v>92</v>
      </c>
      <c r="D53" s="8" t="s">
        <v>20</v>
      </c>
      <c r="E53" s="9">
        <f>11705.2+3000</f>
        <v>14705.2</v>
      </c>
      <c r="F53" s="63">
        <v>16420</v>
      </c>
      <c r="G53" s="61">
        <f t="shared" si="1"/>
        <v>111.66118107880206</v>
      </c>
    </row>
    <row r="54" spans="1:7" ht="15.6" x14ac:dyDescent="0.25">
      <c r="A54" s="88">
        <f t="shared" si="0"/>
        <v>47</v>
      </c>
      <c r="B54" s="73" t="s">
        <v>45</v>
      </c>
      <c r="C54" s="73" t="s">
        <v>96</v>
      </c>
      <c r="D54" s="8" t="s">
        <v>95</v>
      </c>
      <c r="E54" s="9">
        <f>E55+E57</f>
        <v>31771.5</v>
      </c>
      <c r="F54" s="9">
        <f>F55+F57</f>
        <v>30742.100000000002</v>
      </c>
      <c r="G54" s="61">
        <f t="shared" si="1"/>
        <v>96.759989298585211</v>
      </c>
    </row>
    <row r="55" spans="1:7" ht="15.6" x14ac:dyDescent="0.25">
      <c r="A55" s="88">
        <f t="shared" si="0"/>
        <v>48</v>
      </c>
      <c r="B55" s="73" t="s">
        <v>45</v>
      </c>
      <c r="C55" s="73" t="s">
        <v>98</v>
      </c>
      <c r="D55" s="8" t="s">
        <v>99</v>
      </c>
      <c r="E55" s="9">
        <f>E56</f>
        <v>19925</v>
      </c>
      <c r="F55" s="9">
        <f>F56</f>
        <v>19272.900000000001</v>
      </c>
      <c r="G55" s="61">
        <f t="shared" si="1"/>
        <v>96.727227101631115</v>
      </c>
    </row>
    <row r="56" spans="1:7" ht="62.4" x14ac:dyDescent="0.25">
      <c r="A56" s="88">
        <f t="shared" si="0"/>
        <v>49</v>
      </c>
      <c r="B56" s="73" t="s">
        <v>8</v>
      </c>
      <c r="C56" s="73" t="s">
        <v>97</v>
      </c>
      <c r="D56" s="8" t="s">
        <v>21</v>
      </c>
      <c r="E56" s="9">
        <f>22425-2500</f>
        <v>19925</v>
      </c>
      <c r="F56" s="63">
        <v>19272.900000000001</v>
      </c>
      <c r="G56" s="61">
        <f t="shared" si="1"/>
        <v>96.727227101631115</v>
      </c>
    </row>
    <row r="57" spans="1:7" ht="15.6" x14ac:dyDescent="0.25">
      <c r="A57" s="88">
        <f t="shared" si="0"/>
        <v>50</v>
      </c>
      <c r="B57" s="73" t="s">
        <v>45</v>
      </c>
      <c r="C57" s="73" t="s">
        <v>100</v>
      </c>
      <c r="D57" s="8" t="s">
        <v>101</v>
      </c>
      <c r="E57" s="9">
        <f>E58</f>
        <v>11846.5</v>
      </c>
      <c r="F57" s="9">
        <f>F58</f>
        <v>11469.2</v>
      </c>
      <c r="G57" s="61">
        <f t="shared" si="1"/>
        <v>96.815093065462378</v>
      </c>
    </row>
    <row r="58" spans="1:7" ht="62.4" x14ac:dyDescent="0.25">
      <c r="A58" s="88">
        <f t="shared" si="0"/>
        <v>51</v>
      </c>
      <c r="B58" s="73" t="s">
        <v>8</v>
      </c>
      <c r="C58" s="73" t="s">
        <v>102</v>
      </c>
      <c r="D58" s="8" t="s">
        <v>22</v>
      </c>
      <c r="E58" s="9">
        <v>11846.5</v>
      </c>
      <c r="F58" s="63">
        <v>11469.2</v>
      </c>
      <c r="G58" s="61">
        <f t="shared" si="1"/>
        <v>96.815093065462378</v>
      </c>
    </row>
    <row r="59" spans="1:7" ht="15.6" x14ac:dyDescent="0.25">
      <c r="A59" s="88">
        <f t="shared" si="0"/>
        <v>52</v>
      </c>
      <c r="B59" s="73" t="s">
        <v>45</v>
      </c>
      <c r="C59" s="5" t="s">
        <v>103</v>
      </c>
      <c r="D59" s="6" t="s">
        <v>23</v>
      </c>
      <c r="E59" s="7">
        <f>E60+E62</f>
        <v>17418.174999999999</v>
      </c>
      <c r="F59" s="7">
        <f>F60+F62</f>
        <v>17757.900000000001</v>
      </c>
      <c r="G59" s="89">
        <f t="shared" si="1"/>
        <v>101.95040525198537</v>
      </c>
    </row>
    <row r="60" spans="1:7" ht="46.8" x14ac:dyDescent="0.25">
      <c r="A60" s="88">
        <f t="shared" si="0"/>
        <v>53</v>
      </c>
      <c r="B60" s="73" t="s">
        <v>45</v>
      </c>
      <c r="C60" s="73" t="s">
        <v>106</v>
      </c>
      <c r="D60" s="8" t="s">
        <v>105</v>
      </c>
      <c r="E60" s="9">
        <f>E61</f>
        <v>17398.174999999999</v>
      </c>
      <c r="F60" s="9">
        <f>F61</f>
        <v>17732.900000000001</v>
      </c>
      <c r="G60" s="61">
        <f t="shared" si="1"/>
        <v>101.92390868582481</v>
      </c>
    </row>
    <row r="61" spans="1:7" ht="78" x14ac:dyDescent="0.25">
      <c r="A61" s="88">
        <f t="shared" si="0"/>
        <v>54</v>
      </c>
      <c r="B61" s="73" t="s">
        <v>8</v>
      </c>
      <c r="C61" s="73" t="s">
        <v>104</v>
      </c>
      <c r="D61" s="8" t="s">
        <v>24</v>
      </c>
      <c r="E61" s="9">
        <f>9561.3+3000+600+300+2336.875+1600</f>
        <v>17398.174999999999</v>
      </c>
      <c r="F61" s="63">
        <v>17732.900000000001</v>
      </c>
      <c r="G61" s="61">
        <f t="shared" si="1"/>
        <v>101.92390868582481</v>
      </c>
    </row>
    <row r="62" spans="1:7" ht="62.4" x14ac:dyDescent="0.25">
      <c r="A62" s="88">
        <f t="shared" si="0"/>
        <v>55</v>
      </c>
      <c r="B62" s="73" t="s">
        <v>45</v>
      </c>
      <c r="C62" s="73" t="s">
        <v>107</v>
      </c>
      <c r="D62" s="8" t="s">
        <v>108</v>
      </c>
      <c r="E62" s="9">
        <f>E63</f>
        <v>20</v>
      </c>
      <c r="F62" s="9">
        <f>F63</f>
        <v>25</v>
      </c>
      <c r="G62" s="61">
        <f t="shared" si="1"/>
        <v>125</v>
      </c>
    </row>
    <row r="63" spans="1:7" ht="46.8" x14ac:dyDescent="0.25">
      <c r="A63" s="88">
        <f t="shared" si="0"/>
        <v>56</v>
      </c>
      <c r="B63" s="73" t="s">
        <v>26</v>
      </c>
      <c r="C63" s="73" t="s">
        <v>259</v>
      </c>
      <c r="D63" s="8" t="s">
        <v>260</v>
      </c>
      <c r="E63" s="9">
        <v>20</v>
      </c>
      <c r="F63" s="63">
        <v>25</v>
      </c>
      <c r="G63" s="61">
        <f t="shared" si="1"/>
        <v>125</v>
      </c>
    </row>
    <row r="64" spans="1:7" ht="78" x14ac:dyDescent="0.25">
      <c r="A64" s="88">
        <f t="shared" si="0"/>
        <v>57</v>
      </c>
      <c r="B64" s="5" t="s">
        <v>45</v>
      </c>
      <c r="C64" s="5" t="s">
        <v>109</v>
      </c>
      <c r="D64" s="6" t="s">
        <v>27</v>
      </c>
      <c r="E64" s="7">
        <f>E65+E70</f>
        <v>55915.684999999998</v>
      </c>
      <c r="F64" s="7">
        <f>F65+F70</f>
        <v>61668.299999999996</v>
      </c>
      <c r="G64" s="61">
        <f t="shared" si="1"/>
        <v>110.28801668082934</v>
      </c>
    </row>
    <row r="65" spans="1:7" ht="140.4" x14ac:dyDescent="0.25">
      <c r="A65" s="88">
        <f t="shared" si="0"/>
        <v>58</v>
      </c>
      <c r="B65" s="73" t="s">
        <v>45</v>
      </c>
      <c r="C65" s="73" t="s">
        <v>112</v>
      </c>
      <c r="D65" s="11" t="s">
        <v>111</v>
      </c>
      <c r="E65" s="9">
        <f>E66+E67+E69+E68</f>
        <v>53167.303999999996</v>
      </c>
      <c r="F65" s="9">
        <f>F66+F67+F69+F68</f>
        <v>58705.599999999999</v>
      </c>
      <c r="G65" s="61">
        <f t="shared" si="1"/>
        <v>110.41673281007441</v>
      </c>
    </row>
    <row r="66" spans="1:7" ht="124.8" x14ac:dyDescent="0.25">
      <c r="A66" s="88">
        <f t="shared" si="0"/>
        <v>59</v>
      </c>
      <c r="B66" s="73" t="s">
        <v>26</v>
      </c>
      <c r="C66" s="73" t="s">
        <v>110</v>
      </c>
      <c r="D66" s="10" t="s">
        <v>113</v>
      </c>
      <c r="E66" s="9">
        <f>1527.4+946.424+2630</f>
        <v>5103.8240000000005</v>
      </c>
      <c r="F66" s="63">
        <v>5518.5</v>
      </c>
      <c r="G66" s="61">
        <f t="shared" si="1"/>
        <v>108.12480994642448</v>
      </c>
    </row>
    <row r="67" spans="1:7" ht="109.2" x14ac:dyDescent="0.25">
      <c r="A67" s="88">
        <f t="shared" si="0"/>
        <v>60</v>
      </c>
      <c r="B67" s="73" t="s">
        <v>26</v>
      </c>
      <c r="C67" s="73" t="s">
        <v>114</v>
      </c>
      <c r="D67" s="8" t="s">
        <v>28</v>
      </c>
      <c r="E67" s="9">
        <f>55854-19522+3488.041+6760</f>
        <v>46580.040999999997</v>
      </c>
      <c r="F67" s="63">
        <v>51611.4</v>
      </c>
      <c r="G67" s="61">
        <f t="shared" si="1"/>
        <v>110.80153407335989</v>
      </c>
    </row>
    <row r="68" spans="1:7" ht="93.6" x14ac:dyDescent="0.25">
      <c r="A68" s="88">
        <f t="shared" si="0"/>
        <v>61</v>
      </c>
      <c r="B68" s="73" t="s">
        <v>271</v>
      </c>
      <c r="C68" s="73" t="s">
        <v>446</v>
      </c>
      <c r="D68" s="8" t="s">
        <v>447</v>
      </c>
      <c r="E68" s="9">
        <v>25.545000000000002</v>
      </c>
      <c r="F68" s="63">
        <v>25.5</v>
      </c>
      <c r="G68" s="61">
        <f t="shared" si="1"/>
        <v>99.823840281855553</v>
      </c>
    </row>
    <row r="69" spans="1:7" ht="46.8" x14ac:dyDescent="0.25">
      <c r="A69" s="88">
        <f t="shared" si="0"/>
        <v>62</v>
      </c>
      <c r="B69" s="73" t="s">
        <v>26</v>
      </c>
      <c r="C69" s="73" t="s">
        <v>115</v>
      </c>
      <c r="D69" s="8" t="s">
        <v>29</v>
      </c>
      <c r="E69" s="9">
        <f>1015+132.894+310</f>
        <v>1457.894</v>
      </c>
      <c r="F69" s="63">
        <v>1550.2</v>
      </c>
      <c r="G69" s="61">
        <f t="shared" si="1"/>
        <v>106.33146168377125</v>
      </c>
    </row>
    <row r="70" spans="1:7" ht="140.4" x14ac:dyDescent="0.25">
      <c r="A70" s="88">
        <f t="shared" si="0"/>
        <v>63</v>
      </c>
      <c r="B70" s="73" t="s">
        <v>45</v>
      </c>
      <c r="C70" s="73" t="s">
        <v>118</v>
      </c>
      <c r="D70" s="11" t="s">
        <v>117</v>
      </c>
      <c r="E70" s="9">
        <f>E71+E74</f>
        <v>2748.3810000000003</v>
      </c>
      <c r="F70" s="9">
        <f>F71+F74</f>
        <v>2962.7</v>
      </c>
      <c r="G70" s="61">
        <f t="shared" si="1"/>
        <v>107.79800908243797</v>
      </c>
    </row>
    <row r="71" spans="1:7" ht="109.2" x14ac:dyDescent="0.25">
      <c r="A71" s="88">
        <f t="shared" si="0"/>
        <v>64</v>
      </c>
      <c r="B71" s="73" t="s">
        <v>45</v>
      </c>
      <c r="C71" s="73" t="s">
        <v>125</v>
      </c>
      <c r="D71" s="8" t="s">
        <v>30</v>
      </c>
      <c r="E71" s="9">
        <f>E72+E73</f>
        <v>1456.8140000000001</v>
      </c>
      <c r="F71" s="63">
        <v>1511.1</v>
      </c>
      <c r="G71" s="61">
        <f t="shared" si="1"/>
        <v>103.72635079014889</v>
      </c>
    </row>
    <row r="72" spans="1:7" ht="109.2" x14ac:dyDescent="0.25">
      <c r="A72" s="88">
        <f t="shared" si="0"/>
        <v>65</v>
      </c>
      <c r="B72" s="73" t="s">
        <v>26</v>
      </c>
      <c r="C72" s="73" t="s">
        <v>116</v>
      </c>
      <c r="D72" s="8" t="s">
        <v>30</v>
      </c>
      <c r="E72" s="9">
        <f>133.1+23.714</f>
        <v>156.81399999999999</v>
      </c>
      <c r="F72" s="63">
        <v>195.1</v>
      </c>
      <c r="G72" s="61">
        <f t="shared" si="1"/>
        <v>124.41491193388346</v>
      </c>
    </row>
    <row r="73" spans="1:7" ht="109.2" x14ac:dyDescent="0.25">
      <c r="A73" s="88">
        <f t="shared" si="0"/>
        <v>66</v>
      </c>
      <c r="B73" s="73" t="s">
        <v>271</v>
      </c>
      <c r="C73" s="73" t="s">
        <v>116</v>
      </c>
      <c r="D73" s="8" t="s">
        <v>30</v>
      </c>
      <c r="E73" s="9">
        <f>1440-140</f>
        <v>1300</v>
      </c>
      <c r="F73" s="63">
        <v>1316</v>
      </c>
      <c r="G73" s="61">
        <f t="shared" si="1"/>
        <v>101.23076923076924</v>
      </c>
    </row>
    <row r="74" spans="1:7" ht="171.6" x14ac:dyDescent="0.25">
      <c r="A74" s="88">
        <f t="shared" ref="A74:A137" si="2">A73+1</f>
        <v>67</v>
      </c>
      <c r="B74" s="73" t="s">
        <v>45</v>
      </c>
      <c r="C74" s="73" t="s">
        <v>121</v>
      </c>
      <c r="D74" s="11" t="s">
        <v>120</v>
      </c>
      <c r="E74" s="9">
        <f>E75+E76</f>
        <v>1291.567</v>
      </c>
      <c r="F74" s="63">
        <v>1451.6</v>
      </c>
      <c r="G74" s="61">
        <f t="shared" ref="G74:G136" si="3">F74/E74*100</f>
        <v>112.39060768818032</v>
      </c>
    </row>
    <row r="75" spans="1:7" ht="156" x14ac:dyDescent="0.25">
      <c r="A75" s="88">
        <f t="shared" si="2"/>
        <v>68</v>
      </c>
      <c r="B75" s="73" t="s">
        <v>26</v>
      </c>
      <c r="C75" s="73" t="s">
        <v>119</v>
      </c>
      <c r="D75" s="10" t="s">
        <v>122</v>
      </c>
      <c r="E75" s="9">
        <f>928.1-102.833+190</f>
        <v>1015.2670000000001</v>
      </c>
      <c r="F75" s="63">
        <v>1146.8</v>
      </c>
      <c r="G75" s="61">
        <f t="shared" si="3"/>
        <v>112.95550825546383</v>
      </c>
    </row>
    <row r="76" spans="1:7" ht="171.6" x14ac:dyDescent="0.25">
      <c r="A76" s="88">
        <f t="shared" si="2"/>
        <v>69</v>
      </c>
      <c r="B76" s="73" t="s">
        <v>26</v>
      </c>
      <c r="C76" s="73" t="s">
        <v>123</v>
      </c>
      <c r="D76" s="10" t="s">
        <v>124</v>
      </c>
      <c r="E76" s="9">
        <f>376.3-100</f>
        <v>276.3</v>
      </c>
      <c r="F76" s="63">
        <v>304.7</v>
      </c>
      <c r="G76" s="61">
        <f t="shared" si="3"/>
        <v>110.27868259138616</v>
      </c>
    </row>
    <row r="77" spans="1:7" ht="31.2" x14ac:dyDescent="0.25">
      <c r="A77" s="88">
        <f t="shared" si="2"/>
        <v>70</v>
      </c>
      <c r="B77" s="5" t="s">
        <v>45</v>
      </c>
      <c r="C77" s="5" t="s">
        <v>126</v>
      </c>
      <c r="D77" s="6" t="s">
        <v>5</v>
      </c>
      <c r="E77" s="7">
        <f>E78</f>
        <v>565</v>
      </c>
      <c r="F77" s="7">
        <f>F78</f>
        <v>549</v>
      </c>
      <c r="G77" s="61">
        <f t="shared" si="3"/>
        <v>97.16814159292035</v>
      </c>
    </row>
    <row r="78" spans="1:7" ht="31.2" x14ac:dyDescent="0.25">
      <c r="A78" s="88">
        <f t="shared" si="2"/>
        <v>71</v>
      </c>
      <c r="B78" s="73" t="s">
        <v>45</v>
      </c>
      <c r="C78" s="73" t="s">
        <v>130</v>
      </c>
      <c r="D78" s="8" t="s">
        <v>128</v>
      </c>
      <c r="E78" s="9">
        <f>E79+E80+E81</f>
        <v>565</v>
      </c>
      <c r="F78" s="9">
        <f>F79+F80+F81</f>
        <v>549</v>
      </c>
      <c r="G78" s="61">
        <f t="shared" si="3"/>
        <v>97.16814159292035</v>
      </c>
    </row>
    <row r="79" spans="1:7" ht="46.8" x14ac:dyDescent="0.25">
      <c r="A79" s="88">
        <f t="shared" si="2"/>
        <v>72</v>
      </c>
      <c r="B79" s="73" t="s">
        <v>4</v>
      </c>
      <c r="C79" s="73" t="s">
        <v>127</v>
      </c>
      <c r="D79" s="8" t="s">
        <v>129</v>
      </c>
      <c r="E79" s="9">
        <f>100+180+120</f>
        <v>400</v>
      </c>
      <c r="F79" s="63">
        <v>392.2</v>
      </c>
      <c r="G79" s="61">
        <f t="shared" si="3"/>
        <v>98.05</v>
      </c>
    </row>
    <row r="80" spans="1:7" ht="31.2" x14ac:dyDescent="0.25">
      <c r="A80" s="88">
        <f t="shared" si="2"/>
        <v>73</v>
      </c>
      <c r="B80" s="73" t="s">
        <v>4</v>
      </c>
      <c r="C80" s="73" t="s">
        <v>131</v>
      </c>
      <c r="D80" s="8" t="s">
        <v>6</v>
      </c>
      <c r="E80" s="9">
        <v>50</v>
      </c>
      <c r="F80" s="63">
        <v>46.1</v>
      </c>
      <c r="G80" s="61">
        <f t="shared" si="3"/>
        <v>92.2</v>
      </c>
    </row>
    <row r="81" spans="1:7" ht="31.2" x14ac:dyDescent="0.25">
      <c r="A81" s="88">
        <f t="shared" si="2"/>
        <v>74</v>
      </c>
      <c r="B81" s="73" t="s">
        <v>45</v>
      </c>
      <c r="C81" s="73" t="s">
        <v>266</v>
      </c>
      <c r="D81" s="8" t="s">
        <v>132</v>
      </c>
      <c r="E81" s="9">
        <f>E82</f>
        <v>115</v>
      </c>
      <c r="F81" s="9">
        <f>F82</f>
        <v>110.7</v>
      </c>
      <c r="G81" s="61">
        <f t="shared" si="3"/>
        <v>96.260869565217391</v>
      </c>
    </row>
    <row r="82" spans="1:7" ht="31.2" x14ac:dyDescent="0.25">
      <c r="A82" s="88">
        <f t="shared" si="2"/>
        <v>75</v>
      </c>
      <c r="B82" s="73" t="s">
        <v>4</v>
      </c>
      <c r="C82" s="73" t="s">
        <v>283</v>
      </c>
      <c r="D82" s="8" t="s">
        <v>284</v>
      </c>
      <c r="E82" s="9">
        <f>30+85</f>
        <v>115</v>
      </c>
      <c r="F82" s="63">
        <v>110.7</v>
      </c>
      <c r="G82" s="61">
        <f t="shared" si="3"/>
        <v>96.260869565217391</v>
      </c>
    </row>
    <row r="83" spans="1:7" ht="46.8" x14ac:dyDescent="0.25">
      <c r="A83" s="88">
        <f t="shared" si="2"/>
        <v>76</v>
      </c>
      <c r="B83" s="5" t="s">
        <v>45</v>
      </c>
      <c r="C83" s="5" t="s">
        <v>133</v>
      </c>
      <c r="D83" s="6" t="s">
        <v>31</v>
      </c>
      <c r="E83" s="7">
        <f>E84+E87</f>
        <v>6543.5907699999998</v>
      </c>
      <c r="F83" s="7">
        <f>F84+F87</f>
        <v>6180.8979699999991</v>
      </c>
      <c r="G83" s="89">
        <f t="shared" si="3"/>
        <v>94.457281747159129</v>
      </c>
    </row>
    <row r="84" spans="1:7" ht="15.6" x14ac:dyDescent="0.25">
      <c r="A84" s="88">
        <f t="shared" si="2"/>
        <v>77</v>
      </c>
      <c r="B84" s="73" t="s">
        <v>45</v>
      </c>
      <c r="C84" s="73" t="s">
        <v>136</v>
      </c>
      <c r="D84" s="8" t="s">
        <v>135</v>
      </c>
      <c r="E84" s="9">
        <f>E85</f>
        <v>767.69279999999992</v>
      </c>
      <c r="F84" s="9">
        <f>F85</f>
        <v>767.7</v>
      </c>
      <c r="G84" s="61">
        <f t="shared" si="3"/>
        <v>100.00093787515007</v>
      </c>
    </row>
    <row r="85" spans="1:7" ht="31.2" x14ac:dyDescent="0.25">
      <c r="A85" s="88">
        <f t="shared" si="2"/>
        <v>78</v>
      </c>
      <c r="B85" s="73" t="s">
        <v>45</v>
      </c>
      <c r="C85" s="73" t="s">
        <v>138</v>
      </c>
      <c r="D85" s="8" t="s">
        <v>137</v>
      </c>
      <c r="E85" s="9">
        <f>E86</f>
        <v>767.69279999999992</v>
      </c>
      <c r="F85" s="9">
        <f>F86</f>
        <v>767.7</v>
      </c>
      <c r="G85" s="61">
        <f t="shared" si="3"/>
        <v>100.00093787515007</v>
      </c>
    </row>
    <row r="86" spans="1:7" ht="46.8" x14ac:dyDescent="0.25">
      <c r="A86" s="88">
        <f t="shared" si="2"/>
        <v>79</v>
      </c>
      <c r="B86" s="73" t="s">
        <v>41</v>
      </c>
      <c r="C86" s="73" t="s">
        <v>134</v>
      </c>
      <c r="D86" s="8" t="s">
        <v>42</v>
      </c>
      <c r="E86" s="9">
        <f>647+138.516-25.884+8.0608</f>
        <v>767.69279999999992</v>
      </c>
      <c r="F86" s="63">
        <v>767.7</v>
      </c>
      <c r="G86" s="61">
        <f t="shared" si="3"/>
        <v>100.00093787515007</v>
      </c>
    </row>
    <row r="87" spans="1:7" ht="31.2" x14ac:dyDescent="0.25">
      <c r="A87" s="88">
        <f t="shared" si="2"/>
        <v>80</v>
      </c>
      <c r="B87" s="5" t="s">
        <v>45</v>
      </c>
      <c r="C87" s="5" t="s">
        <v>140</v>
      </c>
      <c r="D87" s="6" t="s">
        <v>139</v>
      </c>
      <c r="E87" s="7">
        <f>E88+E92</f>
        <v>5775.89797</v>
      </c>
      <c r="F87" s="7">
        <f>F88+F92</f>
        <v>5413.1979699999993</v>
      </c>
      <c r="G87" s="89">
        <f t="shared" si="3"/>
        <v>93.720456942212905</v>
      </c>
    </row>
    <row r="88" spans="1:7" ht="46.8" x14ac:dyDescent="0.25">
      <c r="A88" s="88">
        <f t="shared" si="2"/>
        <v>81</v>
      </c>
      <c r="B88" s="5" t="s">
        <v>45</v>
      </c>
      <c r="C88" s="5" t="s">
        <v>275</v>
      </c>
      <c r="D88" s="6" t="s">
        <v>274</v>
      </c>
      <c r="E88" s="7">
        <f>E89</f>
        <v>5331.5</v>
      </c>
      <c r="F88" s="7">
        <f>F89</f>
        <v>4967.1499999999996</v>
      </c>
      <c r="G88" s="89">
        <f t="shared" si="3"/>
        <v>93.166088342867852</v>
      </c>
    </row>
    <row r="89" spans="1:7" ht="62.4" x14ac:dyDescent="0.25">
      <c r="A89" s="88">
        <f t="shared" si="2"/>
        <v>82</v>
      </c>
      <c r="B89" s="73" t="s">
        <v>45</v>
      </c>
      <c r="C89" s="73" t="s">
        <v>277</v>
      </c>
      <c r="D89" s="8" t="s">
        <v>278</v>
      </c>
      <c r="E89" s="9">
        <f>E90+E91</f>
        <v>5331.5</v>
      </c>
      <c r="F89" s="9">
        <f>F90+F91</f>
        <v>4967.1499999999996</v>
      </c>
      <c r="G89" s="61">
        <f t="shared" si="3"/>
        <v>93.166088342867852</v>
      </c>
    </row>
    <row r="90" spans="1:7" ht="78" x14ac:dyDescent="0.25">
      <c r="A90" s="88">
        <f t="shared" si="2"/>
        <v>83</v>
      </c>
      <c r="B90" s="73" t="s">
        <v>26</v>
      </c>
      <c r="C90" s="73" t="s">
        <v>267</v>
      </c>
      <c r="D90" s="11" t="s">
        <v>273</v>
      </c>
      <c r="E90" s="9">
        <v>5331.5</v>
      </c>
      <c r="F90" s="63">
        <v>4967.1499999999996</v>
      </c>
      <c r="G90" s="61">
        <f t="shared" si="3"/>
        <v>93.166088342867852</v>
      </c>
    </row>
    <row r="91" spans="1:7" ht="78" x14ac:dyDescent="0.25">
      <c r="A91" s="88">
        <f t="shared" si="2"/>
        <v>84</v>
      </c>
      <c r="B91" s="73" t="s">
        <v>41</v>
      </c>
      <c r="C91" s="73" t="s">
        <v>267</v>
      </c>
      <c r="D91" s="11" t="s">
        <v>273</v>
      </c>
      <c r="E91" s="9">
        <v>0</v>
      </c>
      <c r="F91" s="63">
        <v>0</v>
      </c>
      <c r="G91" s="61">
        <v>0</v>
      </c>
    </row>
    <row r="92" spans="1:7" ht="31.2" x14ac:dyDescent="0.3">
      <c r="A92" s="88">
        <f t="shared" si="2"/>
        <v>85</v>
      </c>
      <c r="B92" s="5" t="s">
        <v>45</v>
      </c>
      <c r="C92" s="5" t="s">
        <v>268</v>
      </c>
      <c r="D92" s="76" t="s">
        <v>276</v>
      </c>
      <c r="E92" s="7">
        <f>E93</f>
        <v>444.39796999999999</v>
      </c>
      <c r="F92" s="7">
        <f>F93</f>
        <v>446.04797000000002</v>
      </c>
      <c r="G92" s="61">
        <f t="shared" si="3"/>
        <v>100.3712888247442</v>
      </c>
    </row>
    <row r="93" spans="1:7" ht="31.2" x14ac:dyDescent="0.3">
      <c r="A93" s="88">
        <f t="shared" si="2"/>
        <v>86</v>
      </c>
      <c r="B93" s="73" t="s">
        <v>45</v>
      </c>
      <c r="C93" s="73" t="s">
        <v>270</v>
      </c>
      <c r="D93" s="12" t="s">
        <v>269</v>
      </c>
      <c r="E93" s="9">
        <f>E94+E95+E96+E100+E103</f>
        <v>444.39796999999999</v>
      </c>
      <c r="F93" s="65">
        <f>F94+F95+F96+F100+F103</f>
        <v>446.04797000000002</v>
      </c>
      <c r="G93" s="61">
        <f t="shared" si="3"/>
        <v>100.3712888247442</v>
      </c>
    </row>
    <row r="94" spans="1:7" ht="62.4" x14ac:dyDescent="0.25">
      <c r="A94" s="88">
        <f t="shared" si="2"/>
        <v>87</v>
      </c>
      <c r="B94" s="73" t="s">
        <v>26</v>
      </c>
      <c r="C94" s="73" t="s">
        <v>280</v>
      </c>
      <c r="D94" s="13" t="s">
        <v>279</v>
      </c>
      <c r="E94" s="9">
        <f>472.1-427.1+3.5</f>
        <v>48.5</v>
      </c>
      <c r="F94" s="63">
        <v>48.5</v>
      </c>
      <c r="G94" s="61">
        <f t="shared" si="3"/>
        <v>100</v>
      </c>
    </row>
    <row r="95" spans="1:7" ht="78" x14ac:dyDescent="0.25">
      <c r="A95" s="88">
        <f t="shared" si="2"/>
        <v>88</v>
      </c>
      <c r="B95" s="73" t="s">
        <v>271</v>
      </c>
      <c r="C95" s="73" t="s">
        <v>345</v>
      </c>
      <c r="D95" s="14" t="s">
        <v>346</v>
      </c>
      <c r="E95" s="9">
        <v>0</v>
      </c>
      <c r="F95" s="63">
        <v>0</v>
      </c>
      <c r="G95" s="61">
        <v>0</v>
      </c>
    </row>
    <row r="96" spans="1:7" ht="78" x14ac:dyDescent="0.25">
      <c r="A96" s="88">
        <f t="shared" si="2"/>
        <v>89</v>
      </c>
      <c r="B96" s="73" t="s">
        <v>45</v>
      </c>
      <c r="C96" s="73" t="s">
        <v>382</v>
      </c>
      <c r="D96" s="45" t="s">
        <v>383</v>
      </c>
      <c r="E96" s="9">
        <f>E99+E97+E98</f>
        <v>236.57796999999999</v>
      </c>
      <c r="F96" s="9">
        <f>F99+F97+F98</f>
        <v>236.57796999999999</v>
      </c>
      <c r="G96" s="61">
        <f t="shared" si="3"/>
        <v>100</v>
      </c>
    </row>
    <row r="97" spans="1:7" ht="78" x14ac:dyDescent="0.25">
      <c r="A97" s="88">
        <f t="shared" si="2"/>
        <v>90</v>
      </c>
      <c r="B97" s="73" t="s">
        <v>271</v>
      </c>
      <c r="C97" s="73" t="s">
        <v>382</v>
      </c>
      <c r="D97" s="45" t="s">
        <v>383</v>
      </c>
      <c r="E97" s="9">
        <v>3.6110000000000003E-2</v>
      </c>
      <c r="F97" s="9">
        <v>3.6110000000000003E-2</v>
      </c>
      <c r="G97" s="61">
        <f t="shared" si="3"/>
        <v>100</v>
      </c>
    </row>
    <row r="98" spans="1:7" ht="78" x14ac:dyDescent="0.25">
      <c r="A98" s="88">
        <f t="shared" si="2"/>
        <v>91</v>
      </c>
      <c r="B98" s="73" t="s">
        <v>41</v>
      </c>
      <c r="C98" s="73" t="s">
        <v>382</v>
      </c>
      <c r="D98" s="45" t="s">
        <v>383</v>
      </c>
      <c r="E98" s="9">
        <v>2.7532800000000002</v>
      </c>
      <c r="F98" s="9">
        <v>2.7532800000000002</v>
      </c>
      <c r="G98" s="61">
        <f t="shared" si="3"/>
        <v>100</v>
      </c>
    </row>
    <row r="99" spans="1:7" ht="78" x14ac:dyDescent="0.25">
      <c r="A99" s="88">
        <f t="shared" si="2"/>
        <v>92</v>
      </c>
      <c r="B99" s="73" t="s">
        <v>193</v>
      </c>
      <c r="C99" s="73" t="s">
        <v>382</v>
      </c>
      <c r="D99" s="45" t="s">
        <v>383</v>
      </c>
      <c r="E99" s="9">
        <f>232.40716+1.38142</f>
        <v>233.78858</v>
      </c>
      <c r="F99" s="9">
        <f>232.40716+1.38142</f>
        <v>233.78858</v>
      </c>
      <c r="G99" s="61">
        <f t="shared" si="3"/>
        <v>100</v>
      </c>
    </row>
    <row r="100" spans="1:7" ht="62.4" x14ac:dyDescent="0.25">
      <c r="A100" s="88">
        <f t="shared" si="2"/>
        <v>93</v>
      </c>
      <c r="B100" s="73" t="s">
        <v>45</v>
      </c>
      <c r="C100" s="73" t="s">
        <v>384</v>
      </c>
      <c r="D100" s="15" t="s">
        <v>385</v>
      </c>
      <c r="E100" s="9">
        <f>E101+E102</f>
        <v>136.82</v>
      </c>
      <c r="F100" s="9">
        <f>F101+F102</f>
        <v>140.43</v>
      </c>
      <c r="G100" s="61">
        <f t="shared" si="3"/>
        <v>102.6385031428154</v>
      </c>
    </row>
    <row r="101" spans="1:7" ht="62.4" x14ac:dyDescent="0.25">
      <c r="A101" s="88">
        <f t="shared" si="2"/>
        <v>94</v>
      </c>
      <c r="B101" s="73" t="s">
        <v>26</v>
      </c>
      <c r="C101" s="73" t="s">
        <v>384</v>
      </c>
      <c r="D101" s="15" t="s">
        <v>385</v>
      </c>
      <c r="E101" s="9">
        <v>12.82</v>
      </c>
      <c r="F101" s="9">
        <v>12.82</v>
      </c>
      <c r="G101" s="61">
        <f t="shared" si="3"/>
        <v>100</v>
      </c>
    </row>
    <row r="102" spans="1:7" ht="62.4" x14ac:dyDescent="0.25">
      <c r="A102" s="88">
        <f t="shared" si="2"/>
        <v>95</v>
      </c>
      <c r="B102" s="73" t="s">
        <v>271</v>
      </c>
      <c r="C102" s="73" t="s">
        <v>384</v>
      </c>
      <c r="D102" s="15" t="s">
        <v>385</v>
      </c>
      <c r="E102" s="9">
        <f>50+104-30</f>
        <v>124</v>
      </c>
      <c r="F102" s="63">
        <v>127.61</v>
      </c>
      <c r="G102" s="61">
        <f t="shared" si="3"/>
        <v>102.91129032258064</v>
      </c>
    </row>
    <row r="103" spans="1:7" ht="62.4" x14ac:dyDescent="0.25">
      <c r="A103" s="88">
        <f t="shared" si="2"/>
        <v>96</v>
      </c>
      <c r="B103" s="73" t="s">
        <v>386</v>
      </c>
      <c r="C103" s="73" t="s">
        <v>387</v>
      </c>
      <c r="D103" s="15" t="s">
        <v>388</v>
      </c>
      <c r="E103" s="9">
        <f>E104</f>
        <v>22.5</v>
      </c>
      <c r="F103" s="9">
        <f>F104</f>
        <v>20.54</v>
      </c>
      <c r="G103" s="61">
        <f t="shared" si="3"/>
        <v>91.288888888888891</v>
      </c>
    </row>
    <row r="104" spans="1:7" ht="62.4" x14ac:dyDescent="0.25">
      <c r="A104" s="88">
        <f t="shared" si="2"/>
        <v>97</v>
      </c>
      <c r="B104" s="73" t="s">
        <v>271</v>
      </c>
      <c r="C104" s="73" t="s">
        <v>387</v>
      </c>
      <c r="D104" s="15" t="s">
        <v>388</v>
      </c>
      <c r="E104" s="9">
        <f>5+10+7.5</f>
        <v>22.5</v>
      </c>
      <c r="F104" s="63">
        <v>20.54</v>
      </c>
      <c r="G104" s="61">
        <f t="shared" si="3"/>
        <v>91.288888888888891</v>
      </c>
    </row>
    <row r="105" spans="1:7" ht="46.8" x14ac:dyDescent="0.25">
      <c r="A105" s="88">
        <f t="shared" si="2"/>
        <v>98</v>
      </c>
      <c r="B105" s="73" t="s">
        <v>45</v>
      </c>
      <c r="C105" s="5" t="s">
        <v>141</v>
      </c>
      <c r="D105" s="6" t="s">
        <v>32</v>
      </c>
      <c r="E105" s="7">
        <f>E108+E106</f>
        <v>7755.76</v>
      </c>
      <c r="F105" s="7">
        <f>F108+F106</f>
        <v>7786.8</v>
      </c>
      <c r="G105" s="89">
        <f t="shared" si="3"/>
        <v>100.4002186761839</v>
      </c>
    </row>
    <row r="106" spans="1:7" ht="156" x14ac:dyDescent="0.3">
      <c r="A106" s="88">
        <f t="shared" si="2"/>
        <v>99</v>
      </c>
      <c r="B106" s="73" t="s">
        <v>45</v>
      </c>
      <c r="C106" s="5" t="s">
        <v>389</v>
      </c>
      <c r="D106" s="46" t="s">
        <v>390</v>
      </c>
      <c r="E106" s="7">
        <f>E107</f>
        <v>55.76</v>
      </c>
      <c r="F106" s="7">
        <f>F107</f>
        <v>55.8</v>
      </c>
      <c r="G106" s="61">
        <f t="shared" si="3"/>
        <v>100.07173601147777</v>
      </c>
    </row>
    <row r="107" spans="1:7" ht="140.4" x14ac:dyDescent="0.3">
      <c r="A107" s="88">
        <f t="shared" si="2"/>
        <v>100</v>
      </c>
      <c r="B107" s="73" t="s">
        <v>26</v>
      </c>
      <c r="C107" s="73" t="s">
        <v>391</v>
      </c>
      <c r="D107" s="47" t="s">
        <v>392</v>
      </c>
      <c r="E107" s="9">
        <v>55.76</v>
      </c>
      <c r="F107" s="63">
        <v>55.8</v>
      </c>
      <c r="G107" s="61">
        <f t="shared" si="3"/>
        <v>100.07173601147777</v>
      </c>
    </row>
    <row r="108" spans="1:7" ht="62.4" x14ac:dyDescent="0.25">
      <c r="A108" s="88">
        <f t="shared" si="2"/>
        <v>101</v>
      </c>
      <c r="B108" s="73" t="s">
        <v>45</v>
      </c>
      <c r="C108" s="73" t="s">
        <v>144</v>
      </c>
      <c r="D108" s="6" t="s">
        <v>143</v>
      </c>
      <c r="E108" s="7">
        <f>E109+E111</f>
        <v>7700</v>
      </c>
      <c r="F108" s="7">
        <f>F109+F111</f>
        <v>7731</v>
      </c>
      <c r="G108" s="61">
        <f t="shared" si="3"/>
        <v>100.40259740259741</v>
      </c>
    </row>
    <row r="109" spans="1:7" ht="78" x14ac:dyDescent="0.25">
      <c r="A109" s="88">
        <f t="shared" si="2"/>
        <v>102</v>
      </c>
      <c r="B109" s="73" t="s">
        <v>45</v>
      </c>
      <c r="C109" s="73" t="s">
        <v>142</v>
      </c>
      <c r="D109" s="16" t="s">
        <v>33</v>
      </c>
      <c r="E109" s="9">
        <f>E110</f>
        <v>5000</v>
      </c>
      <c r="F109" s="9">
        <f>F110</f>
        <v>5049</v>
      </c>
      <c r="G109" s="61">
        <f t="shared" si="3"/>
        <v>100.98</v>
      </c>
    </row>
    <row r="110" spans="1:7" ht="78" x14ac:dyDescent="0.25">
      <c r="A110" s="88">
        <f t="shared" si="2"/>
        <v>103</v>
      </c>
      <c r="B110" s="73" t="s">
        <v>26</v>
      </c>
      <c r="C110" s="73" t="s">
        <v>142</v>
      </c>
      <c r="D110" s="8" t="s">
        <v>33</v>
      </c>
      <c r="E110" s="9">
        <f>700+2300+700+1300</f>
        <v>5000</v>
      </c>
      <c r="F110" s="63">
        <v>5049</v>
      </c>
      <c r="G110" s="61">
        <f t="shared" si="3"/>
        <v>100.98</v>
      </c>
    </row>
    <row r="111" spans="1:7" ht="78" x14ac:dyDescent="0.25">
      <c r="A111" s="88">
        <f t="shared" si="2"/>
        <v>104</v>
      </c>
      <c r="B111" s="73" t="s">
        <v>45</v>
      </c>
      <c r="C111" s="73" t="s">
        <v>145</v>
      </c>
      <c r="D111" s="16" t="s">
        <v>34</v>
      </c>
      <c r="E111" s="9">
        <f>E112</f>
        <v>2700</v>
      </c>
      <c r="F111" s="9">
        <f>F112</f>
        <v>2682</v>
      </c>
      <c r="G111" s="61">
        <f t="shared" si="3"/>
        <v>99.333333333333329</v>
      </c>
    </row>
    <row r="112" spans="1:7" ht="78" x14ac:dyDescent="0.25">
      <c r="A112" s="88">
        <f t="shared" si="2"/>
        <v>105</v>
      </c>
      <c r="B112" s="73" t="s">
        <v>26</v>
      </c>
      <c r="C112" s="73" t="s">
        <v>145</v>
      </c>
      <c r="D112" s="8" t="s">
        <v>34</v>
      </c>
      <c r="E112" s="9">
        <f>1800+900</f>
        <v>2700</v>
      </c>
      <c r="F112" s="63">
        <v>2682</v>
      </c>
      <c r="G112" s="61">
        <f t="shared" si="3"/>
        <v>99.333333333333329</v>
      </c>
    </row>
    <row r="113" spans="1:7" ht="31.2" x14ac:dyDescent="0.25">
      <c r="A113" s="88">
        <f t="shared" si="2"/>
        <v>106</v>
      </c>
      <c r="B113" s="5" t="s">
        <v>45</v>
      </c>
      <c r="C113" s="5" t="s">
        <v>146</v>
      </c>
      <c r="D113" s="6" t="s">
        <v>35</v>
      </c>
      <c r="E113" s="7">
        <f>E114</f>
        <v>249.22</v>
      </c>
      <c r="F113" s="7">
        <f>F114</f>
        <v>252.4</v>
      </c>
      <c r="G113" s="61">
        <f t="shared" si="3"/>
        <v>101.27598106091004</v>
      </c>
    </row>
    <row r="114" spans="1:7" ht="62.4" x14ac:dyDescent="0.25">
      <c r="A114" s="88">
        <f t="shared" si="2"/>
        <v>107</v>
      </c>
      <c r="B114" s="73" t="s">
        <v>45</v>
      </c>
      <c r="C114" s="73" t="s">
        <v>149</v>
      </c>
      <c r="D114" s="8" t="s">
        <v>148</v>
      </c>
      <c r="E114" s="9">
        <f>SUM(E115:E116)</f>
        <v>249.22</v>
      </c>
      <c r="F114" s="9">
        <f>SUM(F115:F116)</f>
        <v>252.4</v>
      </c>
      <c r="G114" s="61">
        <f t="shared" si="3"/>
        <v>101.27598106091004</v>
      </c>
    </row>
    <row r="115" spans="1:7" ht="62.4" x14ac:dyDescent="0.25">
      <c r="A115" s="88">
        <f t="shared" si="2"/>
        <v>108</v>
      </c>
      <c r="B115" s="73" t="s">
        <v>26</v>
      </c>
      <c r="C115" s="73" t="s">
        <v>147</v>
      </c>
      <c r="D115" s="8" t="s">
        <v>36</v>
      </c>
      <c r="E115" s="9">
        <v>113</v>
      </c>
      <c r="F115" s="63">
        <v>105</v>
      </c>
      <c r="G115" s="61">
        <f t="shared" si="3"/>
        <v>92.920353982300881</v>
      </c>
    </row>
    <row r="116" spans="1:7" ht="62.4" x14ac:dyDescent="0.25">
      <c r="A116" s="88">
        <f t="shared" si="2"/>
        <v>109</v>
      </c>
      <c r="B116" s="73" t="s">
        <v>271</v>
      </c>
      <c r="C116" s="73" t="s">
        <v>147</v>
      </c>
      <c r="D116" s="8" t="s">
        <v>36</v>
      </c>
      <c r="E116" s="9">
        <f>100+20+16.22</f>
        <v>136.22</v>
      </c>
      <c r="F116" s="63">
        <v>147.4</v>
      </c>
      <c r="G116" s="61">
        <f t="shared" si="3"/>
        <v>108.20731170165909</v>
      </c>
    </row>
    <row r="117" spans="1:7" ht="31.2" x14ac:dyDescent="0.25">
      <c r="A117" s="88">
        <f t="shared" si="2"/>
        <v>110</v>
      </c>
      <c r="B117" s="5" t="s">
        <v>45</v>
      </c>
      <c r="C117" s="5" t="s">
        <v>150</v>
      </c>
      <c r="D117" s="6" t="s">
        <v>3</v>
      </c>
      <c r="E117" s="7">
        <f>E118+E147+E137+E140+E145+E157</f>
        <v>10482.91863</v>
      </c>
      <c r="F117" s="7">
        <f>F118+F147+F137+F140+F145+F157</f>
        <v>10996.397000000001</v>
      </c>
      <c r="G117" s="61">
        <f t="shared" si="3"/>
        <v>104.89823863108627</v>
      </c>
    </row>
    <row r="118" spans="1:7" ht="62.4" x14ac:dyDescent="0.25">
      <c r="A118" s="88">
        <f t="shared" si="2"/>
        <v>111</v>
      </c>
      <c r="B118" s="73" t="s">
        <v>45</v>
      </c>
      <c r="C118" s="73" t="s">
        <v>153</v>
      </c>
      <c r="D118" s="8" t="s">
        <v>152</v>
      </c>
      <c r="E118" s="9">
        <f>SUM(E119:E136)</f>
        <v>756.34999999999991</v>
      </c>
      <c r="F118" s="9">
        <f>SUM(F119:F136)</f>
        <v>733.8</v>
      </c>
      <c r="G118" s="61">
        <f t="shared" si="3"/>
        <v>97.01857605605872</v>
      </c>
    </row>
    <row r="119" spans="1:7" ht="140.4" x14ac:dyDescent="0.25">
      <c r="A119" s="88">
        <f t="shared" si="2"/>
        <v>112</v>
      </c>
      <c r="B119" s="73" t="s">
        <v>1</v>
      </c>
      <c r="C119" s="73" t="s">
        <v>151</v>
      </c>
      <c r="D119" s="10" t="s">
        <v>179</v>
      </c>
      <c r="E119" s="9">
        <v>5</v>
      </c>
      <c r="F119" s="63">
        <v>5.0999999999999996</v>
      </c>
      <c r="G119" s="61">
        <f t="shared" si="3"/>
        <v>102</v>
      </c>
    </row>
    <row r="120" spans="1:7" ht="140.4" x14ac:dyDescent="0.25">
      <c r="A120" s="88">
        <f t="shared" si="2"/>
        <v>113</v>
      </c>
      <c r="B120" s="73" t="s">
        <v>25</v>
      </c>
      <c r="C120" s="73" t="s">
        <v>151</v>
      </c>
      <c r="D120" s="10" t="s">
        <v>179</v>
      </c>
      <c r="E120" s="9">
        <f>32-5</f>
        <v>27</v>
      </c>
      <c r="F120" s="63">
        <v>23.5</v>
      </c>
      <c r="G120" s="61">
        <f t="shared" si="3"/>
        <v>87.037037037037038</v>
      </c>
    </row>
    <row r="121" spans="1:7" ht="171.6" x14ac:dyDescent="0.25">
      <c r="A121" s="88">
        <f t="shared" si="2"/>
        <v>114</v>
      </c>
      <c r="B121" s="73" t="s">
        <v>1</v>
      </c>
      <c r="C121" s="73" t="s">
        <v>154</v>
      </c>
      <c r="D121" s="10" t="s">
        <v>180</v>
      </c>
      <c r="E121" s="9">
        <v>10</v>
      </c>
      <c r="F121" s="63">
        <v>7</v>
      </c>
      <c r="G121" s="61">
        <f t="shared" si="3"/>
        <v>70</v>
      </c>
    </row>
    <row r="122" spans="1:7" ht="171.6" x14ac:dyDescent="0.25">
      <c r="A122" s="88">
        <f t="shared" si="2"/>
        <v>115</v>
      </c>
      <c r="B122" s="73" t="s">
        <v>25</v>
      </c>
      <c r="C122" s="73" t="s">
        <v>154</v>
      </c>
      <c r="D122" s="10" t="s">
        <v>180</v>
      </c>
      <c r="E122" s="9">
        <v>120</v>
      </c>
      <c r="F122" s="63">
        <v>92.7</v>
      </c>
      <c r="G122" s="61">
        <f t="shared" si="3"/>
        <v>77.250000000000014</v>
      </c>
    </row>
    <row r="123" spans="1:7" ht="140.4" x14ac:dyDescent="0.25">
      <c r="A123" s="88">
        <f t="shared" si="2"/>
        <v>116</v>
      </c>
      <c r="B123" s="73" t="s">
        <v>1</v>
      </c>
      <c r="C123" s="73" t="s">
        <v>155</v>
      </c>
      <c r="D123" s="10" t="s">
        <v>181</v>
      </c>
      <c r="E123" s="9">
        <f>3-2</f>
        <v>1</v>
      </c>
      <c r="F123" s="63">
        <v>0.5</v>
      </c>
      <c r="G123" s="61">
        <f t="shared" si="3"/>
        <v>50</v>
      </c>
    </row>
    <row r="124" spans="1:7" ht="140.4" x14ac:dyDescent="0.25">
      <c r="A124" s="88">
        <f t="shared" si="2"/>
        <v>117</v>
      </c>
      <c r="B124" s="73" t="s">
        <v>25</v>
      </c>
      <c r="C124" s="73" t="s">
        <v>155</v>
      </c>
      <c r="D124" s="10" t="s">
        <v>181</v>
      </c>
      <c r="E124" s="9">
        <f>10-7.35</f>
        <v>2.6500000000000004</v>
      </c>
      <c r="F124" s="63">
        <v>2.7</v>
      </c>
      <c r="G124" s="61">
        <f t="shared" si="3"/>
        <v>101.88679245283019</v>
      </c>
    </row>
    <row r="125" spans="1:7" ht="140.4" x14ac:dyDescent="0.25">
      <c r="A125" s="88">
        <f t="shared" si="2"/>
        <v>118</v>
      </c>
      <c r="B125" s="73" t="s">
        <v>25</v>
      </c>
      <c r="C125" s="73" t="s">
        <v>156</v>
      </c>
      <c r="D125" s="10" t="s">
        <v>182</v>
      </c>
      <c r="E125" s="9">
        <f>9+9</f>
        <v>18</v>
      </c>
      <c r="F125" s="63">
        <v>22</v>
      </c>
      <c r="G125" s="61">
        <f t="shared" si="3"/>
        <v>122.22222222222223</v>
      </c>
    </row>
    <row r="126" spans="1:7" ht="124.8" x14ac:dyDescent="0.25">
      <c r="A126" s="88">
        <f t="shared" si="2"/>
        <v>119</v>
      </c>
      <c r="B126" s="73" t="s">
        <v>25</v>
      </c>
      <c r="C126" s="73" t="s">
        <v>297</v>
      </c>
      <c r="D126" s="10" t="s">
        <v>298</v>
      </c>
      <c r="E126" s="9">
        <f>5-5</f>
        <v>0</v>
      </c>
      <c r="F126" s="63">
        <v>0</v>
      </c>
      <c r="G126" s="61">
        <v>0</v>
      </c>
    </row>
    <row r="127" spans="1:7" ht="171.6" x14ac:dyDescent="0.25">
      <c r="A127" s="88">
        <f t="shared" si="2"/>
        <v>120</v>
      </c>
      <c r="B127" s="73" t="s">
        <v>25</v>
      </c>
      <c r="C127" s="73" t="s">
        <v>157</v>
      </c>
      <c r="D127" s="10" t="s">
        <v>183</v>
      </c>
      <c r="E127" s="9">
        <v>80</v>
      </c>
      <c r="F127" s="63">
        <v>75</v>
      </c>
      <c r="G127" s="61">
        <f t="shared" si="3"/>
        <v>93.75</v>
      </c>
    </row>
    <row r="128" spans="1:7" ht="187.2" x14ac:dyDescent="0.25">
      <c r="A128" s="88">
        <f t="shared" si="2"/>
        <v>121</v>
      </c>
      <c r="B128" s="73" t="s">
        <v>25</v>
      </c>
      <c r="C128" s="73" t="s">
        <v>158</v>
      </c>
      <c r="D128" s="10" t="s">
        <v>184</v>
      </c>
      <c r="E128" s="9">
        <f>13+106</f>
        <v>119</v>
      </c>
      <c r="F128" s="63">
        <v>120</v>
      </c>
      <c r="G128" s="61">
        <f t="shared" si="3"/>
        <v>100.84033613445378</v>
      </c>
    </row>
    <row r="129" spans="1:7" ht="140.4" x14ac:dyDescent="0.25">
      <c r="A129" s="88">
        <f t="shared" si="2"/>
        <v>122</v>
      </c>
      <c r="B129" s="73" t="s">
        <v>25</v>
      </c>
      <c r="C129" s="73" t="s">
        <v>159</v>
      </c>
      <c r="D129" s="10" t="s">
        <v>185</v>
      </c>
      <c r="E129" s="9">
        <f>5+1.7</f>
        <v>6.7</v>
      </c>
      <c r="F129" s="63">
        <v>7.7</v>
      </c>
      <c r="G129" s="61">
        <f t="shared" si="3"/>
        <v>114.92537313432835</v>
      </c>
    </row>
    <row r="130" spans="1:7" ht="96.6" x14ac:dyDescent="0.25">
      <c r="A130" s="88">
        <f t="shared" si="2"/>
        <v>123</v>
      </c>
      <c r="B130" s="73" t="s">
        <v>1</v>
      </c>
      <c r="C130" s="73" t="s">
        <v>160</v>
      </c>
      <c r="D130" s="56" t="s">
        <v>186</v>
      </c>
      <c r="E130" s="9">
        <v>1.5</v>
      </c>
      <c r="F130" s="63">
        <v>1.5</v>
      </c>
      <c r="G130" s="61">
        <f t="shared" si="3"/>
        <v>100</v>
      </c>
    </row>
    <row r="131" spans="1:7" ht="96.6" x14ac:dyDescent="0.25">
      <c r="A131" s="88">
        <f t="shared" si="2"/>
        <v>124</v>
      </c>
      <c r="B131" s="73" t="s">
        <v>455</v>
      </c>
      <c r="C131" s="73" t="s">
        <v>160</v>
      </c>
      <c r="D131" s="56" t="s">
        <v>186</v>
      </c>
      <c r="E131" s="9">
        <v>5</v>
      </c>
      <c r="F131" s="63">
        <v>5</v>
      </c>
      <c r="G131" s="61">
        <f t="shared" si="3"/>
        <v>100</v>
      </c>
    </row>
    <row r="132" spans="1:7" ht="124.8" x14ac:dyDescent="0.25">
      <c r="A132" s="88">
        <f t="shared" si="2"/>
        <v>125</v>
      </c>
      <c r="B132" s="73" t="s">
        <v>25</v>
      </c>
      <c r="C132" s="73" t="s">
        <v>160</v>
      </c>
      <c r="D132" s="10" t="s">
        <v>186</v>
      </c>
      <c r="E132" s="9">
        <v>75</v>
      </c>
      <c r="F132" s="63">
        <v>68.7</v>
      </c>
      <c r="G132" s="61">
        <f t="shared" si="3"/>
        <v>91.600000000000009</v>
      </c>
    </row>
    <row r="133" spans="1:7" ht="96.6" x14ac:dyDescent="0.25">
      <c r="A133" s="88">
        <f t="shared" si="2"/>
        <v>126</v>
      </c>
      <c r="B133" s="73" t="s">
        <v>26</v>
      </c>
      <c r="C133" s="73" t="s">
        <v>456</v>
      </c>
      <c r="D133" s="56" t="s">
        <v>457</v>
      </c>
      <c r="E133" s="9">
        <v>1.5</v>
      </c>
      <c r="F133" s="63">
        <v>1.5</v>
      </c>
      <c r="G133" s="61">
        <f t="shared" si="3"/>
        <v>100</v>
      </c>
    </row>
    <row r="134" spans="1:7" ht="140.4" x14ac:dyDescent="0.25">
      <c r="A134" s="88">
        <f t="shared" si="2"/>
        <v>127</v>
      </c>
      <c r="B134" s="73" t="s">
        <v>1</v>
      </c>
      <c r="C134" s="73" t="s">
        <v>161</v>
      </c>
      <c r="D134" s="10" t="s">
        <v>187</v>
      </c>
      <c r="E134" s="9">
        <v>9</v>
      </c>
      <c r="F134" s="64">
        <v>11.2</v>
      </c>
      <c r="G134" s="61">
        <f t="shared" si="3"/>
        <v>124.44444444444444</v>
      </c>
    </row>
    <row r="135" spans="1:7" ht="140.4" x14ac:dyDescent="0.25">
      <c r="A135" s="88">
        <f t="shared" si="2"/>
        <v>128</v>
      </c>
      <c r="B135" s="73" t="s">
        <v>347</v>
      </c>
      <c r="C135" s="73" t="s">
        <v>161</v>
      </c>
      <c r="D135" s="10" t="s">
        <v>187</v>
      </c>
      <c r="E135" s="9">
        <v>0</v>
      </c>
      <c r="F135" s="64">
        <v>0</v>
      </c>
      <c r="G135" s="61">
        <v>0</v>
      </c>
    </row>
    <row r="136" spans="1:7" ht="140.4" x14ac:dyDescent="0.25">
      <c r="A136" s="88">
        <f t="shared" si="2"/>
        <v>129</v>
      </c>
      <c r="B136" s="73" t="s">
        <v>25</v>
      </c>
      <c r="C136" s="73" t="s">
        <v>161</v>
      </c>
      <c r="D136" s="10" t="s">
        <v>187</v>
      </c>
      <c r="E136" s="9">
        <f>250+25</f>
        <v>275</v>
      </c>
      <c r="F136" s="64">
        <v>289.7</v>
      </c>
      <c r="G136" s="61">
        <f t="shared" si="3"/>
        <v>105.34545454545454</v>
      </c>
    </row>
    <row r="137" spans="1:7" ht="62.4" x14ac:dyDescent="0.25">
      <c r="A137" s="88">
        <f t="shared" si="2"/>
        <v>130</v>
      </c>
      <c r="B137" s="73" t="s">
        <v>45</v>
      </c>
      <c r="C137" s="73" t="s">
        <v>393</v>
      </c>
      <c r="D137" s="17" t="s">
        <v>163</v>
      </c>
      <c r="E137" s="7">
        <f>E138</f>
        <v>0</v>
      </c>
      <c r="F137" s="7">
        <f>F138</f>
        <v>0</v>
      </c>
      <c r="G137" s="61">
        <v>0</v>
      </c>
    </row>
    <row r="138" spans="1:7" ht="93.6" x14ac:dyDescent="0.25">
      <c r="A138" s="88">
        <f t="shared" ref="A138:A201" si="4">A137+1</f>
        <v>131</v>
      </c>
      <c r="B138" s="73" t="s">
        <v>26</v>
      </c>
      <c r="C138" s="73" t="s">
        <v>162</v>
      </c>
      <c r="D138" s="8" t="s">
        <v>37</v>
      </c>
      <c r="E138" s="9">
        <f>51-51</f>
        <v>0</v>
      </c>
      <c r="F138" s="63">
        <v>0</v>
      </c>
      <c r="G138" s="61">
        <v>0</v>
      </c>
    </row>
    <row r="139" spans="1:7" ht="187.2" x14ac:dyDescent="0.25">
      <c r="A139" s="88">
        <f t="shared" si="4"/>
        <v>132</v>
      </c>
      <c r="B139" s="73" t="s">
        <v>45</v>
      </c>
      <c r="C139" s="5" t="s">
        <v>474</v>
      </c>
      <c r="D139" s="67" t="s">
        <v>475</v>
      </c>
      <c r="E139" s="7">
        <f>E140+E143</f>
        <v>9057.9462899999999</v>
      </c>
      <c r="F139" s="7">
        <f>F140+F143</f>
        <v>9057.973</v>
      </c>
      <c r="G139" s="61">
        <f t="shared" ref="G139:G193" si="5">F139/E139*100</f>
        <v>100.0002948792049</v>
      </c>
    </row>
    <row r="140" spans="1:7" ht="93.6" x14ac:dyDescent="0.3">
      <c r="A140" s="88">
        <f t="shared" si="4"/>
        <v>133</v>
      </c>
      <c r="B140" s="5" t="s">
        <v>45</v>
      </c>
      <c r="C140" s="5" t="s">
        <v>394</v>
      </c>
      <c r="D140" s="48" t="s">
        <v>395</v>
      </c>
      <c r="E140" s="66">
        <f>E141+E142</f>
        <v>9057.9462899999999</v>
      </c>
      <c r="F140" s="66">
        <f>F141+F142</f>
        <v>9057.9470000000001</v>
      </c>
      <c r="G140" s="61">
        <f t="shared" si="5"/>
        <v>100.0000078384214</v>
      </c>
    </row>
    <row r="141" spans="1:7" ht="109.2" x14ac:dyDescent="0.3">
      <c r="A141" s="88">
        <f t="shared" si="4"/>
        <v>134</v>
      </c>
      <c r="B141" s="73" t="s">
        <v>271</v>
      </c>
      <c r="C141" s="73" t="s">
        <v>469</v>
      </c>
      <c r="D141" s="49" t="s">
        <v>396</v>
      </c>
      <c r="E141" s="65">
        <f>1.932+3331.52529+5550+61.542+109.9</f>
        <v>9054.8992899999994</v>
      </c>
      <c r="F141" s="63">
        <v>9054.9</v>
      </c>
      <c r="G141" s="61">
        <f t="shared" si="5"/>
        <v>100.00000784105904</v>
      </c>
    </row>
    <row r="142" spans="1:7" ht="109.2" x14ac:dyDescent="0.3">
      <c r="A142" s="88">
        <f t="shared" si="4"/>
        <v>135</v>
      </c>
      <c r="B142" s="73" t="s">
        <v>193</v>
      </c>
      <c r="C142" s="73" t="s">
        <v>469</v>
      </c>
      <c r="D142" s="49" t="s">
        <v>396</v>
      </c>
      <c r="E142" s="9">
        <v>3.0470000000000002</v>
      </c>
      <c r="F142" s="63">
        <v>3.0470000000000002</v>
      </c>
      <c r="G142" s="61">
        <f t="shared" si="5"/>
        <v>100</v>
      </c>
    </row>
    <row r="143" spans="1:7" ht="140.4" x14ac:dyDescent="0.3">
      <c r="A143" s="88">
        <f t="shared" si="4"/>
        <v>136</v>
      </c>
      <c r="B143" s="73" t="s">
        <v>45</v>
      </c>
      <c r="C143" s="73" t="s">
        <v>470</v>
      </c>
      <c r="D143" s="47" t="s">
        <v>473</v>
      </c>
      <c r="E143" s="9">
        <f>E144</f>
        <v>0</v>
      </c>
      <c r="F143" s="65">
        <f>F144</f>
        <v>2.5999999999999999E-2</v>
      </c>
      <c r="G143" s="61">
        <v>0</v>
      </c>
    </row>
    <row r="144" spans="1:7" ht="109.2" x14ac:dyDescent="0.3">
      <c r="A144" s="88">
        <f t="shared" si="4"/>
        <v>137</v>
      </c>
      <c r="B144" s="73" t="s">
        <v>26</v>
      </c>
      <c r="C144" s="73" t="s">
        <v>471</v>
      </c>
      <c r="D144" s="49" t="s">
        <v>472</v>
      </c>
      <c r="E144" s="9">
        <v>0</v>
      </c>
      <c r="F144" s="63">
        <v>2.5999999999999999E-2</v>
      </c>
      <c r="G144" s="61">
        <v>0</v>
      </c>
    </row>
    <row r="145" spans="1:7" ht="69" x14ac:dyDescent="0.25">
      <c r="A145" s="88">
        <f t="shared" si="4"/>
        <v>138</v>
      </c>
      <c r="B145" s="5" t="s">
        <v>45</v>
      </c>
      <c r="C145" s="5" t="s">
        <v>458</v>
      </c>
      <c r="D145" s="57" t="s">
        <v>459</v>
      </c>
      <c r="E145" s="7">
        <f>E146</f>
        <v>681.75079000000005</v>
      </c>
      <c r="F145" s="7">
        <f>F146</f>
        <v>831.8</v>
      </c>
      <c r="G145" s="61">
        <f t="shared" si="5"/>
        <v>122.00939290440718</v>
      </c>
    </row>
    <row r="146" spans="1:7" ht="69" x14ac:dyDescent="0.25">
      <c r="A146" s="88">
        <f t="shared" si="4"/>
        <v>139</v>
      </c>
      <c r="B146" s="73" t="s">
        <v>271</v>
      </c>
      <c r="C146" s="73" t="s">
        <v>460</v>
      </c>
      <c r="D146" s="51" t="s">
        <v>459</v>
      </c>
      <c r="E146" s="9">
        <v>681.75079000000005</v>
      </c>
      <c r="F146" s="63">
        <v>831.8</v>
      </c>
      <c r="G146" s="61">
        <f t="shared" si="5"/>
        <v>122.00939290440718</v>
      </c>
    </row>
    <row r="147" spans="1:7" ht="31.2" x14ac:dyDescent="0.3">
      <c r="A147" s="88">
        <f t="shared" si="4"/>
        <v>140</v>
      </c>
      <c r="B147" s="5" t="s">
        <v>45</v>
      </c>
      <c r="C147" s="5" t="s">
        <v>165</v>
      </c>
      <c r="D147" s="77" t="s">
        <v>164</v>
      </c>
      <c r="E147" s="7">
        <f>E151+E148</f>
        <v>-46.128450000000001</v>
      </c>
      <c r="F147" s="7">
        <f>F151+F148</f>
        <v>340.65</v>
      </c>
      <c r="G147" s="89">
        <f t="shared" si="5"/>
        <v>-738.48134936248664</v>
      </c>
    </row>
    <row r="148" spans="1:7" ht="109.2" x14ac:dyDescent="0.3">
      <c r="A148" s="88">
        <f t="shared" si="4"/>
        <v>141</v>
      </c>
      <c r="B148" s="73" t="s">
        <v>45</v>
      </c>
      <c r="C148" s="73" t="s">
        <v>397</v>
      </c>
      <c r="D148" s="50" t="s">
        <v>398</v>
      </c>
      <c r="E148" s="9">
        <f>E150+E149</f>
        <v>-34.416200000000003</v>
      </c>
      <c r="F148" s="9">
        <f>F150+F149</f>
        <v>352.4</v>
      </c>
      <c r="G148" s="61">
        <f t="shared" si="5"/>
        <v>-1023.9364020432238</v>
      </c>
    </row>
    <row r="149" spans="1:7" ht="109.2" x14ac:dyDescent="0.3">
      <c r="A149" s="88">
        <f t="shared" si="4"/>
        <v>142</v>
      </c>
      <c r="B149" s="73" t="s">
        <v>26</v>
      </c>
      <c r="C149" s="73" t="s">
        <v>397</v>
      </c>
      <c r="D149" s="50" t="s">
        <v>398</v>
      </c>
      <c r="E149" s="9">
        <v>-45.767000000000003</v>
      </c>
      <c r="F149" s="63">
        <v>341</v>
      </c>
      <c r="G149" s="61">
        <f t="shared" si="5"/>
        <v>-745.07833154893262</v>
      </c>
    </row>
    <row r="150" spans="1:7" ht="109.2" x14ac:dyDescent="0.3">
      <c r="A150" s="88">
        <f t="shared" si="4"/>
        <v>143</v>
      </c>
      <c r="B150" s="73" t="s">
        <v>271</v>
      </c>
      <c r="C150" s="73" t="s">
        <v>397</v>
      </c>
      <c r="D150" s="50" t="s">
        <v>398</v>
      </c>
      <c r="E150" s="9">
        <v>11.3508</v>
      </c>
      <c r="F150" s="63">
        <v>11.4</v>
      </c>
      <c r="G150" s="61">
        <f t="shared" si="5"/>
        <v>100.43344962469607</v>
      </c>
    </row>
    <row r="151" spans="1:7" ht="78" x14ac:dyDescent="0.25">
      <c r="A151" s="88">
        <f t="shared" si="4"/>
        <v>144</v>
      </c>
      <c r="B151" s="73" t="s">
        <v>45</v>
      </c>
      <c r="C151" s="5" t="s">
        <v>285</v>
      </c>
      <c r="D151" s="68" t="s">
        <v>286</v>
      </c>
      <c r="E151" s="7">
        <f>E152</f>
        <v>-11.712249999999994</v>
      </c>
      <c r="F151" s="7">
        <f>F152</f>
        <v>-11.75</v>
      </c>
      <c r="G151" s="61">
        <f t="shared" si="5"/>
        <v>100.32231210911658</v>
      </c>
    </row>
    <row r="152" spans="1:7" ht="124.8" x14ac:dyDescent="0.25">
      <c r="A152" s="88">
        <f t="shared" si="4"/>
        <v>145</v>
      </c>
      <c r="B152" s="73" t="s">
        <v>45</v>
      </c>
      <c r="C152" s="73" t="s">
        <v>282</v>
      </c>
      <c r="D152" s="18" t="s">
        <v>281</v>
      </c>
      <c r="E152" s="9">
        <f>E154+E155+E153+E156</f>
        <v>-11.712249999999994</v>
      </c>
      <c r="F152" s="9">
        <f>F154+F155+F153+F156</f>
        <v>-11.75</v>
      </c>
      <c r="G152" s="61">
        <f t="shared" si="5"/>
        <v>100.32231210911658</v>
      </c>
    </row>
    <row r="153" spans="1:7" ht="109.2" x14ac:dyDescent="0.25">
      <c r="A153" s="88">
        <f t="shared" si="4"/>
        <v>146</v>
      </c>
      <c r="B153" s="73" t="s">
        <v>8</v>
      </c>
      <c r="C153" s="73" t="s">
        <v>166</v>
      </c>
      <c r="D153" s="10" t="s">
        <v>167</v>
      </c>
      <c r="E153" s="9">
        <v>3</v>
      </c>
      <c r="F153" s="63">
        <v>3</v>
      </c>
      <c r="G153" s="61">
        <f t="shared" si="5"/>
        <v>100</v>
      </c>
    </row>
    <row r="154" spans="1:7" ht="109.2" x14ac:dyDescent="0.25">
      <c r="A154" s="88">
        <f t="shared" si="4"/>
        <v>147</v>
      </c>
      <c r="B154" s="73" t="s">
        <v>272</v>
      </c>
      <c r="C154" s="73" t="s">
        <v>166</v>
      </c>
      <c r="D154" s="10" t="s">
        <v>167</v>
      </c>
      <c r="E154" s="9">
        <f>50-65.26225</f>
        <v>-15.262249999999995</v>
      </c>
      <c r="F154" s="63">
        <v>-15.3</v>
      </c>
      <c r="G154" s="61">
        <f t="shared" si="5"/>
        <v>100.24734229880919</v>
      </c>
    </row>
    <row r="155" spans="1:7" ht="109.2" x14ac:dyDescent="0.25">
      <c r="A155" s="88">
        <f t="shared" si="4"/>
        <v>148</v>
      </c>
      <c r="B155" s="73" t="s">
        <v>26</v>
      </c>
      <c r="C155" s="73" t="s">
        <v>166</v>
      </c>
      <c r="D155" s="10" t="s">
        <v>167</v>
      </c>
      <c r="E155" s="9">
        <f>47-47</f>
        <v>0</v>
      </c>
      <c r="F155" s="63">
        <v>0</v>
      </c>
      <c r="G155" s="61">
        <v>0</v>
      </c>
    </row>
    <row r="156" spans="1:7" ht="140.4" x14ac:dyDescent="0.25">
      <c r="A156" s="88">
        <f t="shared" si="4"/>
        <v>149</v>
      </c>
      <c r="B156" s="73" t="s">
        <v>8</v>
      </c>
      <c r="C156" s="73" t="s">
        <v>461</v>
      </c>
      <c r="D156" s="10" t="s">
        <v>462</v>
      </c>
      <c r="E156" s="65">
        <v>0.55000000000000004</v>
      </c>
      <c r="F156" s="63">
        <v>0.55000000000000004</v>
      </c>
      <c r="G156" s="61">
        <f t="shared" si="5"/>
        <v>100</v>
      </c>
    </row>
    <row r="157" spans="1:7" ht="31.2" x14ac:dyDescent="0.25">
      <c r="A157" s="88">
        <f t="shared" si="4"/>
        <v>150</v>
      </c>
      <c r="B157" s="5" t="s">
        <v>45</v>
      </c>
      <c r="C157" s="5" t="s">
        <v>476</v>
      </c>
      <c r="D157" s="17" t="s">
        <v>477</v>
      </c>
      <c r="E157" s="66">
        <f>E158</f>
        <v>33</v>
      </c>
      <c r="F157" s="66">
        <f>F158</f>
        <v>32.200000000000003</v>
      </c>
      <c r="G157" s="89">
        <f t="shared" si="5"/>
        <v>97.575757575757578</v>
      </c>
    </row>
    <row r="158" spans="1:7" ht="156" x14ac:dyDescent="0.25">
      <c r="A158" s="88">
        <f t="shared" si="4"/>
        <v>151</v>
      </c>
      <c r="B158" s="73" t="s">
        <v>4</v>
      </c>
      <c r="C158" s="73" t="s">
        <v>463</v>
      </c>
      <c r="D158" s="10" t="s">
        <v>464</v>
      </c>
      <c r="E158" s="9">
        <v>33</v>
      </c>
      <c r="F158" s="63">
        <v>32.200000000000003</v>
      </c>
      <c r="G158" s="61">
        <f t="shared" si="5"/>
        <v>97.575757575757578</v>
      </c>
    </row>
    <row r="159" spans="1:7" ht="15.6" x14ac:dyDescent="0.25">
      <c r="A159" s="88">
        <f t="shared" si="4"/>
        <v>152</v>
      </c>
      <c r="B159" s="5" t="s">
        <v>45</v>
      </c>
      <c r="C159" s="5" t="s">
        <v>168</v>
      </c>
      <c r="D159" s="6" t="s">
        <v>38</v>
      </c>
      <c r="E159" s="7">
        <f>E161</f>
        <v>487.13049999999998</v>
      </c>
      <c r="F159" s="7">
        <f>F161+F160</f>
        <v>487.7</v>
      </c>
      <c r="G159" s="61">
        <f t="shared" si="5"/>
        <v>100.11690912394111</v>
      </c>
    </row>
    <row r="160" spans="1:7" ht="46.8" x14ac:dyDescent="0.25">
      <c r="A160" s="88">
        <f t="shared" si="4"/>
        <v>153</v>
      </c>
      <c r="B160" s="5" t="s">
        <v>26</v>
      </c>
      <c r="C160" s="5" t="s">
        <v>478</v>
      </c>
      <c r="D160" s="6" t="s">
        <v>479</v>
      </c>
      <c r="E160" s="7">
        <v>0</v>
      </c>
      <c r="F160" s="7">
        <v>0.5</v>
      </c>
      <c r="G160" s="61">
        <v>0</v>
      </c>
    </row>
    <row r="161" spans="1:7" ht="15.6" x14ac:dyDescent="0.25">
      <c r="A161" s="88">
        <f t="shared" si="4"/>
        <v>154</v>
      </c>
      <c r="B161" s="73" t="s">
        <v>45</v>
      </c>
      <c r="C161" s="73" t="s">
        <v>170</v>
      </c>
      <c r="D161" s="8" t="s">
        <v>169</v>
      </c>
      <c r="E161" s="9">
        <f>E162+E163+E164+E165</f>
        <v>487.13049999999998</v>
      </c>
      <c r="F161" s="9">
        <f>F162+F163+F164+F165</f>
        <v>487.2</v>
      </c>
      <c r="G161" s="61">
        <f t="shared" si="5"/>
        <v>100.01426722408063</v>
      </c>
    </row>
    <row r="162" spans="1:7" ht="41.4" x14ac:dyDescent="0.25">
      <c r="A162" s="88">
        <f t="shared" si="4"/>
        <v>155</v>
      </c>
      <c r="B162" s="73" t="s">
        <v>26</v>
      </c>
      <c r="C162" s="73" t="s">
        <v>426</v>
      </c>
      <c r="D162" s="51" t="s">
        <v>427</v>
      </c>
      <c r="E162" s="9">
        <v>0</v>
      </c>
      <c r="F162" s="63">
        <v>0</v>
      </c>
      <c r="G162" s="61">
        <v>0</v>
      </c>
    </row>
    <row r="163" spans="1:7" ht="55.2" x14ac:dyDescent="0.25">
      <c r="A163" s="88">
        <f t="shared" si="4"/>
        <v>156</v>
      </c>
      <c r="B163" s="73" t="s">
        <v>271</v>
      </c>
      <c r="C163" s="73" t="s">
        <v>436</v>
      </c>
      <c r="D163" s="51" t="s">
        <v>437</v>
      </c>
      <c r="E163" s="9">
        <v>20</v>
      </c>
      <c r="F163" s="63">
        <v>20</v>
      </c>
      <c r="G163" s="61">
        <f t="shared" si="5"/>
        <v>100</v>
      </c>
    </row>
    <row r="164" spans="1:7" ht="42" x14ac:dyDescent="0.3">
      <c r="A164" s="88">
        <f t="shared" si="4"/>
        <v>157</v>
      </c>
      <c r="B164" s="73" t="s">
        <v>425</v>
      </c>
      <c r="C164" s="52" t="s">
        <v>426</v>
      </c>
      <c r="D164" s="51" t="s">
        <v>427</v>
      </c>
      <c r="E164" s="9">
        <f>295-7.8407</f>
        <v>287.15929999999997</v>
      </c>
      <c r="F164" s="63">
        <v>287.2</v>
      </c>
      <c r="G164" s="61">
        <f t="shared" si="5"/>
        <v>100.01417331773688</v>
      </c>
    </row>
    <row r="165" spans="1:7" ht="42" x14ac:dyDescent="0.3">
      <c r="A165" s="88">
        <f t="shared" si="4"/>
        <v>158</v>
      </c>
      <c r="B165" s="73" t="s">
        <v>425</v>
      </c>
      <c r="C165" s="52" t="s">
        <v>428</v>
      </c>
      <c r="D165" s="51" t="s">
        <v>429</v>
      </c>
      <c r="E165" s="9">
        <f>183.8+7.17-10.9988</f>
        <v>179.97120000000001</v>
      </c>
      <c r="F165" s="61">
        <v>180</v>
      </c>
      <c r="G165" s="61">
        <f t="shared" si="5"/>
        <v>100.01600256040966</v>
      </c>
    </row>
    <row r="166" spans="1:7" ht="15.6" x14ac:dyDescent="0.25">
      <c r="A166" s="88">
        <f t="shared" si="4"/>
        <v>159</v>
      </c>
      <c r="B166" s="5" t="s">
        <v>45</v>
      </c>
      <c r="C166" s="5" t="s">
        <v>188</v>
      </c>
      <c r="D166" s="6" t="s">
        <v>174</v>
      </c>
      <c r="E166" s="7">
        <f>E167+E258+E261+E256</f>
        <v>1344536.4990199995</v>
      </c>
      <c r="F166" s="7">
        <f>F167+F258+F261+F256</f>
        <v>1270067.5900099999</v>
      </c>
      <c r="G166" s="61">
        <f t="shared" si="5"/>
        <v>94.461369470871333</v>
      </c>
    </row>
    <row r="167" spans="1:7" ht="62.4" x14ac:dyDescent="0.25">
      <c r="A167" s="88">
        <f t="shared" si="4"/>
        <v>160</v>
      </c>
      <c r="B167" s="19" t="s">
        <v>45</v>
      </c>
      <c r="C167" s="19" t="s">
        <v>190</v>
      </c>
      <c r="D167" s="20" t="s">
        <v>175</v>
      </c>
      <c r="E167" s="78">
        <f>E168+E173+E208+E235</f>
        <v>1359657.4587399997</v>
      </c>
      <c r="F167" s="78">
        <f>F168+F173+F208+F235</f>
        <v>1285230</v>
      </c>
      <c r="G167" s="61">
        <f t="shared" si="5"/>
        <v>94.526014014664256</v>
      </c>
    </row>
    <row r="168" spans="1:7" ht="31.2" x14ac:dyDescent="0.25">
      <c r="A168" s="88">
        <f t="shared" si="4"/>
        <v>161</v>
      </c>
      <c r="B168" s="19" t="s">
        <v>45</v>
      </c>
      <c r="C168" s="19" t="s">
        <v>448</v>
      </c>
      <c r="D168" s="20" t="s">
        <v>302</v>
      </c>
      <c r="E168" s="78">
        <f>E169+E171</f>
        <v>113077.70000000001</v>
      </c>
      <c r="F168" s="78">
        <f>F169+F171</f>
        <v>113077.7</v>
      </c>
      <c r="G168" s="61">
        <f t="shared" si="5"/>
        <v>99.999999999999986</v>
      </c>
    </row>
    <row r="169" spans="1:7" ht="46.8" x14ac:dyDescent="0.25">
      <c r="A169" s="88">
        <f t="shared" si="4"/>
        <v>162</v>
      </c>
      <c r="B169" s="19" t="s">
        <v>45</v>
      </c>
      <c r="C169" s="19" t="s">
        <v>449</v>
      </c>
      <c r="D169" s="20" t="s">
        <v>450</v>
      </c>
      <c r="E169" s="78">
        <f>E170</f>
        <v>12740</v>
      </c>
      <c r="F169" s="78">
        <f>F170</f>
        <v>12740</v>
      </c>
      <c r="G169" s="61">
        <f t="shared" si="5"/>
        <v>100</v>
      </c>
    </row>
    <row r="170" spans="1:7" ht="46.8" x14ac:dyDescent="0.25">
      <c r="A170" s="88">
        <f t="shared" si="4"/>
        <v>163</v>
      </c>
      <c r="B170" s="21" t="s">
        <v>193</v>
      </c>
      <c r="C170" s="21" t="s">
        <v>451</v>
      </c>
      <c r="D170" s="22" t="s">
        <v>452</v>
      </c>
      <c r="E170" s="79">
        <v>12740</v>
      </c>
      <c r="F170" s="63">
        <v>12740</v>
      </c>
      <c r="G170" s="61">
        <f t="shared" si="5"/>
        <v>100</v>
      </c>
    </row>
    <row r="171" spans="1:7" ht="15.6" x14ac:dyDescent="0.25">
      <c r="A171" s="88">
        <f t="shared" si="4"/>
        <v>164</v>
      </c>
      <c r="B171" s="19" t="s">
        <v>45</v>
      </c>
      <c r="C171" s="19" t="s">
        <v>453</v>
      </c>
      <c r="D171" s="20" t="s">
        <v>454</v>
      </c>
      <c r="E171" s="78">
        <f>E172</f>
        <v>100337.70000000001</v>
      </c>
      <c r="F171" s="78">
        <f>F172</f>
        <v>100337.7</v>
      </c>
      <c r="G171" s="61">
        <f t="shared" si="5"/>
        <v>99.999999999999986</v>
      </c>
    </row>
    <row r="172" spans="1:7" ht="109.2" x14ac:dyDescent="0.25">
      <c r="A172" s="88">
        <f t="shared" si="4"/>
        <v>165</v>
      </c>
      <c r="B172" s="21" t="s">
        <v>193</v>
      </c>
      <c r="C172" s="21" t="s">
        <v>301</v>
      </c>
      <c r="D172" s="22" t="s">
        <v>348</v>
      </c>
      <c r="E172" s="79">
        <f>69765.1+30572.6</f>
        <v>100337.70000000001</v>
      </c>
      <c r="F172" s="63">
        <v>100337.7</v>
      </c>
      <c r="G172" s="61">
        <f t="shared" si="5"/>
        <v>99.999999999999986</v>
      </c>
    </row>
    <row r="173" spans="1:7" ht="46.8" x14ac:dyDescent="0.25">
      <c r="A173" s="88">
        <f t="shared" si="4"/>
        <v>166</v>
      </c>
      <c r="B173" s="19" t="s">
        <v>45</v>
      </c>
      <c r="C173" s="19" t="s">
        <v>189</v>
      </c>
      <c r="D173" s="23" t="s">
        <v>176</v>
      </c>
      <c r="E173" s="24">
        <f>E178+E180+E182+E174+E176</f>
        <v>332604.10785999999</v>
      </c>
      <c r="F173" s="71">
        <f>F178+F180+F182+F174+F176</f>
        <v>284097.5</v>
      </c>
      <c r="G173" s="89">
        <f t="shared" si="5"/>
        <v>85.416112815895389</v>
      </c>
    </row>
    <row r="174" spans="1:7" ht="93.6" x14ac:dyDescent="0.25">
      <c r="A174" s="88">
        <f t="shared" si="4"/>
        <v>167</v>
      </c>
      <c r="B174" s="21" t="s">
        <v>45</v>
      </c>
      <c r="C174" s="21" t="s">
        <v>191</v>
      </c>
      <c r="D174" s="27" t="s">
        <v>192</v>
      </c>
      <c r="E174" s="25">
        <f>E175</f>
        <v>17071.5</v>
      </c>
      <c r="F174" s="25">
        <f>F175</f>
        <v>17035</v>
      </c>
      <c r="G174" s="61">
        <f t="shared" si="5"/>
        <v>99.786193363207687</v>
      </c>
    </row>
    <row r="175" spans="1:7" ht="93.6" x14ac:dyDescent="0.3">
      <c r="A175" s="88">
        <f t="shared" si="4"/>
        <v>168</v>
      </c>
      <c r="B175" s="21" t="s">
        <v>193</v>
      </c>
      <c r="C175" s="21" t="s">
        <v>194</v>
      </c>
      <c r="D175" s="26" t="s">
        <v>195</v>
      </c>
      <c r="E175" s="25">
        <v>17071.5</v>
      </c>
      <c r="F175" s="63">
        <v>17035</v>
      </c>
      <c r="G175" s="61">
        <f t="shared" si="5"/>
        <v>99.786193363207687</v>
      </c>
    </row>
    <row r="176" spans="1:7" ht="46.8" x14ac:dyDescent="0.3">
      <c r="A176" s="88">
        <f t="shared" si="4"/>
        <v>169</v>
      </c>
      <c r="B176" s="21" t="s">
        <v>45</v>
      </c>
      <c r="C176" s="21" t="s">
        <v>341</v>
      </c>
      <c r="D176" s="26" t="s">
        <v>342</v>
      </c>
      <c r="E176" s="25">
        <f>E177</f>
        <v>4139.6000000000004</v>
      </c>
      <c r="F176" s="72">
        <f>F177</f>
        <v>4139.5600000000004</v>
      </c>
      <c r="G176" s="61">
        <f t="shared" si="5"/>
        <v>99.99903372306504</v>
      </c>
    </row>
    <row r="177" spans="1:7" ht="46.8" x14ac:dyDescent="0.3">
      <c r="A177" s="88">
        <f t="shared" si="4"/>
        <v>170</v>
      </c>
      <c r="B177" s="21" t="s">
        <v>193</v>
      </c>
      <c r="C177" s="21" t="s">
        <v>343</v>
      </c>
      <c r="D177" s="26" t="s">
        <v>344</v>
      </c>
      <c r="E177" s="25">
        <v>4139.6000000000004</v>
      </c>
      <c r="F177" s="63">
        <v>4139.5600000000004</v>
      </c>
      <c r="G177" s="61">
        <f t="shared" si="5"/>
        <v>99.99903372306504</v>
      </c>
    </row>
    <row r="178" spans="1:7" ht="31.2" x14ac:dyDescent="0.3">
      <c r="A178" s="88">
        <f t="shared" si="4"/>
        <v>171</v>
      </c>
      <c r="B178" s="21" t="s">
        <v>45</v>
      </c>
      <c r="C178" s="21" t="s">
        <v>263</v>
      </c>
      <c r="D178" s="26" t="s">
        <v>261</v>
      </c>
      <c r="E178" s="25">
        <f>E179</f>
        <v>67.7</v>
      </c>
      <c r="F178" s="25">
        <f>F179</f>
        <v>67.7</v>
      </c>
      <c r="G178" s="61">
        <f t="shared" si="5"/>
        <v>100</v>
      </c>
    </row>
    <row r="179" spans="1:7" ht="31.2" x14ac:dyDescent="0.3">
      <c r="A179" s="88">
        <f t="shared" si="4"/>
        <v>172</v>
      </c>
      <c r="B179" s="21" t="s">
        <v>193</v>
      </c>
      <c r="C179" s="21" t="s">
        <v>264</v>
      </c>
      <c r="D179" s="26" t="s">
        <v>262</v>
      </c>
      <c r="E179" s="25">
        <v>67.7</v>
      </c>
      <c r="F179" s="63">
        <v>67.7</v>
      </c>
      <c r="G179" s="61">
        <f t="shared" si="5"/>
        <v>100</v>
      </c>
    </row>
    <row r="180" spans="1:7" ht="46.8" x14ac:dyDescent="0.25">
      <c r="A180" s="88">
        <f t="shared" si="4"/>
        <v>173</v>
      </c>
      <c r="B180" s="21" t="s">
        <v>45</v>
      </c>
      <c r="C180" s="21" t="s">
        <v>196</v>
      </c>
      <c r="D180" s="28" t="s">
        <v>197</v>
      </c>
      <c r="E180" s="25">
        <f>E181</f>
        <v>16126.300069999999</v>
      </c>
      <c r="F180" s="25">
        <f>F181</f>
        <v>16126.3</v>
      </c>
      <c r="G180" s="61">
        <f t="shared" si="5"/>
        <v>99.999999565926473</v>
      </c>
    </row>
    <row r="181" spans="1:7" ht="46.8" x14ac:dyDescent="0.25">
      <c r="A181" s="88">
        <f t="shared" si="4"/>
        <v>174</v>
      </c>
      <c r="B181" s="21" t="s">
        <v>193</v>
      </c>
      <c r="C181" s="21" t="s">
        <v>198</v>
      </c>
      <c r="D181" s="28" t="s">
        <v>199</v>
      </c>
      <c r="E181" s="25">
        <v>16126.300069999999</v>
      </c>
      <c r="F181" s="63">
        <v>16126.3</v>
      </c>
      <c r="G181" s="61">
        <f t="shared" si="5"/>
        <v>99.999999565926473</v>
      </c>
    </row>
    <row r="182" spans="1:7" ht="15.6" x14ac:dyDescent="0.25">
      <c r="A182" s="88">
        <f t="shared" si="4"/>
        <v>175</v>
      </c>
      <c r="B182" s="19" t="s">
        <v>45</v>
      </c>
      <c r="C182" s="19" t="s">
        <v>200</v>
      </c>
      <c r="D182" s="23" t="s">
        <v>201</v>
      </c>
      <c r="E182" s="24">
        <f>E183</f>
        <v>295199.00779</v>
      </c>
      <c r="F182" s="24">
        <f>F183</f>
        <v>246728.94</v>
      </c>
      <c r="G182" s="61">
        <f t="shared" si="5"/>
        <v>83.580545153972579</v>
      </c>
    </row>
    <row r="183" spans="1:7" ht="31.2" x14ac:dyDescent="0.25">
      <c r="A183" s="88">
        <f t="shared" si="4"/>
        <v>176</v>
      </c>
      <c r="B183" s="21" t="s">
        <v>45</v>
      </c>
      <c r="C183" s="21" t="s">
        <v>202</v>
      </c>
      <c r="D183" s="28" t="s">
        <v>203</v>
      </c>
      <c r="E183" s="25">
        <f>SUM(E184:E207)</f>
        <v>295199.00779</v>
      </c>
      <c r="F183" s="25">
        <f>SUM(F184:F207)</f>
        <v>246728.94</v>
      </c>
      <c r="G183" s="61">
        <f t="shared" si="5"/>
        <v>83.580545153972579</v>
      </c>
    </row>
    <row r="184" spans="1:7" ht="62.4" x14ac:dyDescent="0.25">
      <c r="A184" s="88">
        <f t="shared" si="4"/>
        <v>177</v>
      </c>
      <c r="B184" s="21" t="s">
        <v>193</v>
      </c>
      <c r="C184" s="21" t="s">
        <v>413</v>
      </c>
      <c r="D184" s="28" t="s">
        <v>414</v>
      </c>
      <c r="E184" s="25">
        <v>617.1</v>
      </c>
      <c r="F184" s="63">
        <v>617.1</v>
      </c>
      <c r="G184" s="61">
        <f t="shared" si="5"/>
        <v>100</v>
      </c>
    </row>
    <row r="185" spans="1:7" ht="46.8" x14ac:dyDescent="0.25">
      <c r="A185" s="88">
        <f t="shared" si="4"/>
        <v>178</v>
      </c>
      <c r="B185" s="21" t="s">
        <v>193</v>
      </c>
      <c r="C185" s="21" t="s">
        <v>415</v>
      </c>
      <c r="D185" s="28" t="s">
        <v>416</v>
      </c>
      <c r="E185" s="25">
        <v>186.1</v>
      </c>
      <c r="F185" s="63">
        <v>186.1</v>
      </c>
      <c r="G185" s="61">
        <f t="shared" si="5"/>
        <v>100</v>
      </c>
    </row>
    <row r="186" spans="1:7" ht="156" x14ac:dyDescent="0.3">
      <c r="A186" s="88">
        <f t="shared" si="4"/>
        <v>179</v>
      </c>
      <c r="B186" s="21" t="s">
        <v>193</v>
      </c>
      <c r="C186" s="21" t="s">
        <v>399</v>
      </c>
      <c r="D186" s="30" t="s">
        <v>400</v>
      </c>
      <c r="E186" s="25">
        <v>464.2</v>
      </c>
      <c r="F186" s="63">
        <v>464.2</v>
      </c>
      <c r="G186" s="61">
        <f t="shared" si="5"/>
        <v>100</v>
      </c>
    </row>
    <row r="187" spans="1:7" ht="140.4" x14ac:dyDescent="0.3">
      <c r="A187" s="88">
        <f t="shared" si="4"/>
        <v>180</v>
      </c>
      <c r="B187" s="21" t="s">
        <v>193</v>
      </c>
      <c r="C187" s="21" t="s">
        <v>401</v>
      </c>
      <c r="D187" s="30" t="s">
        <v>402</v>
      </c>
      <c r="E187" s="25">
        <v>10000</v>
      </c>
      <c r="F187" s="63">
        <v>10000</v>
      </c>
      <c r="G187" s="61">
        <f t="shared" si="5"/>
        <v>100</v>
      </c>
    </row>
    <row r="188" spans="1:7" ht="140.4" x14ac:dyDescent="0.25">
      <c r="A188" s="88">
        <f t="shared" si="4"/>
        <v>181</v>
      </c>
      <c r="B188" s="21" t="s">
        <v>193</v>
      </c>
      <c r="C188" s="21" t="s">
        <v>417</v>
      </c>
      <c r="D188" s="80" t="s">
        <v>418</v>
      </c>
      <c r="E188" s="25">
        <v>2222</v>
      </c>
      <c r="F188" s="63">
        <v>2222</v>
      </c>
      <c r="G188" s="61">
        <f t="shared" si="5"/>
        <v>100</v>
      </c>
    </row>
    <row r="189" spans="1:7" ht="78" x14ac:dyDescent="0.25">
      <c r="A189" s="88">
        <f t="shared" si="4"/>
        <v>182</v>
      </c>
      <c r="B189" s="21" t="s">
        <v>193</v>
      </c>
      <c r="C189" s="21" t="s">
        <v>349</v>
      </c>
      <c r="D189" s="28" t="s">
        <v>350</v>
      </c>
      <c r="E189" s="25">
        <v>50000</v>
      </c>
      <c r="F189" s="63">
        <v>49784.4</v>
      </c>
      <c r="G189" s="61">
        <f t="shared" si="5"/>
        <v>99.568799999999996</v>
      </c>
    </row>
    <row r="190" spans="1:7" ht="46.8" x14ac:dyDescent="0.25">
      <c r="A190" s="88">
        <f t="shared" si="4"/>
        <v>183</v>
      </c>
      <c r="B190" s="21" t="s">
        <v>193</v>
      </c>
      <c r="C190" s="21" t="s">
        <v>204</v>
      </c>
      <c r="D190" s="28" t="s">
        <v>205</v>
      </c>
      <c r="E190" s="25">
        <v>934.5</v>
      </c>
      <c r="F190" s="63">
        <v>934.5</v>
      </c>
      <c r="G190" s="61">
        <f t="shared" si="5"/>
        <v>100</v>
      </c>
    </row>
    <row r="191" spans="1:7" ht="62.4" x14ac:dyDescent="0.25">
      <c r="A191" s="88">
        <f t="shared" si="4"/>
        <v>184</v>
      </c>
      <c r="B191" s="21" t="s">
        <v>193</v>
      </c>
      <c r="C191" s="21" t="s">
        <v>351</v>
      </c>
      <c r="D191" s="28" t="s">
        <v>352</v>
      </c>
      <c r="E191" s="25">
        <v>17772.278839999999</v>
      </c>
      <c r="F191" s="63">
        <v>17772.3</v>
      </c>
      <c r="G191" s="61">
        <f t="shared" si="5"/>
        <v>100.00011906182765</v>
      </c>
    </row>
    <row r="192" spans="1:7" s="34" customFormat="1" ht="78" x14ac:dyDescent="0.25">
      <c r="A192" s="88">
        <f t="shared" si="4"/>
        <v>185</v>
      </c>
      <c r="B192" s="21" t="s">
        <v>193</v>
      </c>
      <c r="C192" s="21" t="s">
        <v>419</v>
      </c>
      <c r="D192" s="28" t="s">
        <v>420</v>
      </c>
      <c r="E192" s="25">
        <v>1185.9000000000001</v>
      </c>
      <c r="F192" s="63">
        <v>1185.9000000000001</v>
      </c>
      <c r="G192" s="61">
        <f t="shared" si="5"/>
        <v>100</v>
      </c>
    </row>
    <row r="193" spans="1:7" ht="69" x14ac:dyDescent="0.25">
      <c r="A193" s="88">
        <f t="shared" si="4"/>
        <v>186</v>
      </c>
      <c r="B193" s="21" t="s">
        <v>193</v>
      </c>
      <c r="C193" s="21" t="s">
        <v>421</v>
      </c>
      <c r="D193" s="58" t="s">
        <v>422</v>
      </c>
      <c r="E193" s="25">
        <v>2000</v>
      </c>
      <c r="F193" s="63">
        <v>2000</v>
      </c>
      <c r="G193" s="61">
        <f t="shared" si="5"/>
        <v>100</v>
      </c>
    </row>
    <row r="194" spans="1:7" ht="62.4" x14ac:dyDescent="0.25">
      <c r="A194" s="88">
        <f t="shared" si="4"/>
        <v>187</v>
      </c>
      <c r="B194" s="21" t="s">
        <v>193</v>
      </c>
      <c r="C194" s="21" t="s">
        <v>335</v>
      </c>
      <c r="D194" s="28" t="s">
        <v>336</v>
      </c>
      <c r="E194" s="25">
        <v>57900</v>
      </c>
      <c r="F194" s="63">
        <v>47637.16</v>
      </c>
      <c r="G194" s="61">
        <f t="shared" ref="G194:G256" si="6">F194/E194*100</f>
        <v>82.274887737478423</v>
      </c>
    </row>
    <row r="195" spans="1:7" ht="124.8" x14ac:dyDescent="0.25">
      <c r="A195" s="88">
        <f t="shared" si="4"/>
        <v>188</v>
      </c>
      <c r="B195" s="21" t="s">
        <v>193</v>
      </c>
      <c r="C195" s="21" t="s">
        <v>403</v>
      </c>
      <c r="D195" s="31" t="s">
        <v>404</v>
      </c>
      <c r="E195" s="25">
        <v>90</v>
      </c>
      <c r="F195" s="63">
        <v>90</v>
      </c>
      <c r="G195" s="61">
        <f t="shared" si="6"/>
        <v>100</v>
      </c>
    </row>
    <row r="196" spans="1:7" ht="46.8" x14ac:dyDescent="0.25">
      <c r="A196" s="88">
        <f t="shared" si="4"/>
        <v>189</v>
      </c>
      <c r="B196" s="21" t="s">
        <v>193</v>
      </c>
      <c r="C196" s="21" t="s">
        <v>206</v>
      </c>
      <c r="D196" s="28" t="s">
        <v>207</v>
      </c>
      <c r="E196" s="25">
        <v>84.8</v>
      </c>
      <c r="F196" s="63">
        <v>84.8</v>
      </c>
      <c r="G196" s="61">
        <f t="shared" si="6"/>
        <v>100</v>
      </c>
    </row>
    <row r="197" spans="1:7" ht="62.4" x14ac:dyDescent="0.3">
      <c r="A197" s="88">
        <f t="shared" si="4"/>
        <v>190</v>
      </c>
      <c r="B197" s="21" t="s">
        <v>193</v>
      </c>
      <c r="C197" s="21" t="s">
        <v>405</v>
      </c>
      <c r="D197" s="81" t="s">
        <v>406</v>
      </c>
      <c r="E197" s="25">
        <v>4500</v>
      </c>
      <c r="F197" s="63">
        <v>4500</v>
      </c>
      <c r="G197" s="61">
        <f t="shared" si="6"/>
        <v>100</v>
      </c>
    </row>
    <row r="198" spans="1:7" ht="78" x14ac:dyDescent="0.25">
      <c r="A198" s="88">
        <f t="shared" si="4"/>
        <v>191</v>
      </c>
      <c r="B198" s="21" t="s">
        <v>193</v>
      </c>
      <c r="C198" s="21" t="s">
        <v>208</v>
      </c>
      <c r="D198" s="28" t="s">
        <v>287</v>
      </c>
      <c r="E198" s="25">
        <v>2169</v>
      </c>
      <c r="F198" s="63">
        <v>2168.9699999999998</v>
      </c>
      <c r="G198" s="61">
        <f t="shared" si="6"/>
        <v>99.998616874135536</v>
      </c>
    </row>
    <row r="199" spans="1:7" ht="62.4" x14ac:dyDescent="0.25">
      <c r="A199" s="88">
        <f t="shared" si="4"/>
        <v>192</v>
      </c>
      <c r="B199" s="21" t="s">
        <v>193</v>
      </c>
      <c r="C199" s="21" t="s">
        <v>353</v>
      </c>
      <c r="D199" s="28" t="s">
        <v>354</v>
      </c>
      <c r="E199" s="25">
        <f>635.81445+659.736</f>
        <v>1295.55045</v>
      </c>
      <c r="F199" s="63">
        <v>1295.55</v>
      </c>
      <c r="G199" s="61">
        <f t="shared" si="6"/>
        <v>99.99996526572933</v>
      </c>
    </row>
    <row r="200" spans="1:7" ht="179.4" x14ac:dyDescent="0.25">
      <c r="A200" s="88">
        <f t="shared" si="4"/>
        <v>193</v>
      </c>
      <c r="B200" s="21" t="s">
        <v>193</v>
      </c>
      <c r="C200" s="21" t="s">
        <v>438</v>
      </c>
      <c r="D200" s="59" t="s">
        <v>439</v>
      </c>
      <c r="E200" s="25">
        <v>12098.1</v>
      </c>
      <c r="F200" s="63">
        <v>12063.1</v>
      </c>
      <c r="G200" s="61">
        <f t="shared" si="6"/>
        <v>99.71069837412486</v>
      </c>
    </row>
    <row r="201" spans="1:7" ht="93.6" x14ac:dyDescent="0.25">
      <c r="A201" s="88">
        <f t="shared" si="4"/>
        <v>194</v>
      </c>
      <c r="B201" s="73" t="s">
        <v>193</v>
      </c>
      <c r="C201" s="73" t="s">
        <v>289</v>
      </c>
      <c r="D201" s="10" t="s">
        <v>288</v>
      </c>
      <c r="E201" s="25">
        <v>1576</v>
      </c>
      <c r="F201" s="63">
        <v>1575.99</v>
      </c>
      <c r="G201" s="61">
        <f t="shared" si="6"/>
        <v>99.9993654822335</v>
      </c>
    </row>
    <row r="202" spans="1:7" ht="109.2" x14ac:dyDescent="0.25">
      <c r="A202" s="88">
        <f t="shared" ref="A202:A264" si="7">A201+1</f>
        <v>195</v>
      </c>
      <c r="B202" s="73" t="s">
        <v>193</v>
      </c>
      <c r="C202" s="73" t="s">
        <v>299</v>
      </c>
      <c r="D202" s="10" t="s">
        <v>300</v>
      </c>
      <c r="E202" s="25">
        <f>5986.9+1024</f>
        <v>7010.9</v>
      </c>
      <c r="F202" s="63">
        <v>6337.1</v>
      </c>
      <c r="G202" s="61">
        <f t="shared" si="6"/>
        <v>90.38925102340643</v>
      </c>
    </row>
    <row r="203" spans="1:7" ht="78" x14ac:dyDescent="0.25">
      <c r="A203" s="88">
        <f t="shared" si="7"/>
        <v>196</v>
      </c>
      <c r="B203" s="21" t="s">
        <v>193</v>
      </c>
      <c r="C203" s="21" t="s">
        <v>423</v>
      </c>
      <c r="D203" s="32" t="s">
        <v>424</v>
      </c>
      <c r="E203" s="25">
        <v>665</v>
      </c>
      <c r="F203" s="63">
        <v>665</v>
      </c>
      <c r="G203" s="61">
        <f t="shared" si="6"/>
        <v>100</v>
      </c>
    </row>
    <row r="204" spans="1:7" ht="140.4" x14ac:dyDescent="0.25">
      <c r="A204" s="88">
        <f t="shared" si="7"/>
        <v>197</v>
      </c>
      <c r="B204" s="21" t="s">
        <v>193</v>
      </c>
      <c r="C204" s="73" t="s">
        <v>407</v>
      </c>
      <c r="D204" s="31" t="s">
        <v>408</v>
      </c>
      <c r="E204" s="25">
        <v>597.07849999999996</v>
      </c>
      <c r="F204" s="63">
        <v>597.07000000000005</v>
      </c>
      <c r="G204" s="61">
        <f t="shared" si="6"/>
        <v>99.998576401595457</v>
      </c>
    </row>
    <row r="205" spans="1:7" ht="109.2" x14ac:dyDescent="0.25">
      <c r="A205" s="88">
        <f t="shared" si="7"/>
        <v>198</v>
      </c>
      <c r="B205" s="21" t="s">
        <v>193</v>
      </c>
      <c r="C205" s="21" t="s">
        <v>368</v>
      </c>
      <c r="D205" s="28" t="s">
        <v>369</v>
      </c>
      <c r="E205" s="25">
        <v>10000</v>
      </c>
      <c r="F205" s="63">
        <v>10000</v>
      </c>
      <c r="G205" s="61">
        <f t="shared" si="6"/>
        <v>100</v>
      </c>
    </row>
    <row r="206" spans="1:7" ht="93.6" x14ac:dyDescent="0.25">
      <c r="A206" s="88">
        <f t="shared" si="7"/>
        <v>199</v>
      </c>
      <c r="B206" s="21" t="s">
        <v>193</v>
      </c>
      <c r="C206" s="21" t="s">
        <v>355</v>
      </c>
      <c r="D206" s="28" t="s">
        <v>356</v>
      </c>
      <c r="E206" s="25">
        <f>44719+27500</f>
        <v>72219</v>
      </c>
      <c r="F206" s="63">
        <v>43288</v>
      </c>
      <c r="G206" s="61">
        <f t="shared" si="6"/>
        <v>59.939905011146656</v>
      </c>
    </row>
    <row r="207" spans="1:7" ht="78" x14ac:dyDescent="0.3">
      <c r="A207" s="88">
        <f t="shared" si="7"/>
        <v>200</v>
      </c>
      <c r="B207" s="21" t="s">
        <v>193</v>
      </c>
      <c r="C207" s="21" t="s">
        <v>339</v>
      </c>
      <c r="D207" s="30" t="s">
        <v>340</v>
      </c>
      <c r="E207" s="25">
        <v>39611.5</v>
      </c>
      <c r="F207" s="63">
        <v>31259.7</v>
      </c>
      <c r="G207" s="61">
        <f t="shared" si="6"/>
        <v>78.915718920010605</v>
      </c>
    </row>
    <row r="208" spans="1:7" ht="62.4" x14ac:dyDescent="0.25">
      <c r="A208" s="88">
        <f t="shared" si="7"/>
        <v>201</v>
      </c>
      <c r="B208" s="19" t="s">
        <v>45</v>
      </c>
      <c r="C208" s="19" t="s">
        <v>265</v>
      </c>
      <c r="D208" s="33" t="s">
        <v>209</v>
      </c>
      <c r="E208" s="24">
        <f>E209+E227+E231+E233+E229</f>
        <v>737235.44320999982</v>
      </c>
      <c r="F208" s="24">
        <f>F209+F227+F231+F233+F229</f>
        <v>735661.99999999988</v>
      </c>
      <c r="G208" s="61">
        <f t="shared" si="6"/>
        <v>99.786575208165658</v>
      </c>
    </row>
    <row r="209" spans="1:7" ht="46.8" x14ac:dyDescent="0.25">
      <c r="A209" s="88">
        <f t="shared" si="7"/>
        <v>202</v>
      </c>
      <c r="B209" s="21" t="s">
        <v>45</v>
      </c>
      <c r="C209" s="21" t="s">
        <v>210</v>
      </c>
      <c r="D209" s="32" t="s">
        <v>211</v>
      </c>
      <c r="E209" s="25">
        <f>SUM(E210:E226)</f>
        <v>726122.02934999985</v>
      </c>
      <c r="F209" s="25">
        <f>SUM(F210:F226)</f>
        <v>724600.69999999984</v>
      </c>
      <c r="G209" s="61">
        <f t="shared" si="6"/>
        <v>99.790485718858861</v>
      </c>
    </row>
    <row r="210" spans="1:7" ht="140.4" x14ac:dyDescent="0.25">
      <c r="A210" s="88">
        <f t="shared" si="7"/>
        <v>203</v>
      </c>
      <c r="B210" s="21" t="s">
        <v>193</v>
      </c>
      <c r="C210" s="21" t="s">
        <v>212</v>
      </c>
      <c r="D210" s="32" t="s">
        <v>213</v>
      </c>
      <c r="E210" s="25">
        <f>1029.2+167.7</f>
        <v>1196.9000000000001</v>
      </c>
      <c r="F210" s="63">
        <v>1196.9000000000001</v>
      </c>
      <c r="G210" s="61">
        <f t="shared" si="6"/>
        <v>100</v>
      </c>
    </row>
    <row r="211" spans="1:7" ht="358.8" x14ac:dyDescent="0.25">
      <c r="A211" s="88">
        <f t="shared" si="7"/>
        <v>204</v>
      </c>
      <c r="B211" s="21" t="s">
        <v>193</v>
      </c>
      <c r="C211" s="21" t="s">
        <v>214</v>
      </c>
      <c r="D211" s="32" t="s">
        <v>215</v>
      </c>
      <c r="E211" s="25">
        <v>75079.199999999997</v>
      </c>
      <c r="F211" s="63">
        <v>75079.199999999997</v>
      </c>
      <c r="G211" s="61">
        <f t="shared" si="6"/>
        <v>100</v>
      </c>
    </row>
    <row r="212" spans="1:7" ht="358.8" x14ac:dyDescent="0.25">
      <c r="A212" s="88">
        <f t="shared" si="7"/>
        <v>205</v>
      </c>
      <c r="B212" s="21" t="s">
        <v>193</v>
      </c>
      <c r="C212" s="21" t="s">
        <v>216</v>
      </c>
      <c r="D212" s="32" t="s">
        <v>290</v>
      </c>
      <c r="E212" s="25">
        <f>62060.5+6195.6+2339.5+8266.8</f>
        <v>78862.400000000009</v>
      </c>
      <c r="F212" s="63">
        <v>78862.399999999994</v>
      </c>
      <c r="G212" s="61">
        <f t="shared" si="6"/>
        <v>99.999999999999972</v>
      </c>
    </row>
    <row r="213" spans="1:7" ht="171.6" x14ac:dyDescent="0.25">
      <c r="A213" s="88">
        <f t="shared" si="7"/>
        <v>206</v>
      </c>
      <c r="B213" s="21" t="s">
        <v>193</v>
      </c>
      <c r="C213" s="21" t="s">
        <v>217</v>
      </c>
      <c r="D213" s="32" t="s">
        <v>218</v>
      </c>
      <c r="E213" s="25">
        <f>69.2+11.7</f>
        <v>80.900000000000006</v>
      </c>
      <c r="F213" s="63">
        <v>80.900000000000006</v>
      </c>
      <c r="G213" s="61">
        <f t="shared" si="6"/>
        <v>100</v>
      </c>
    </row>
    <row r="214" spans="1:7" s="34" customFormat="1" ht="124.8" x14ac:dyDescent="0.25">
      <c r="A214" s="88">
        <f t="shared" si="7"/>
        <v>207</v>
      </c>
      <c r="B214" s="21" t="s">
        <v>193</v>
      </c>
      <c r="C214" s="21" t="s">
        <v>219</v>
      </c>
      <c r="D214" s="32" t="s">
        <v>220</v>
      </c>
      <c r="E214" s="25">
        <f>1003+167.7</f>
        <v>1170.7</v>
      </c>
      <c r="F214" s="63">
        <v>1140.7</v>
      </c>
      <c r="G214" s="61">
        <f t="shared" si="6"/>
        <v>97.437430597078674</v>
      </c>
    </row>
    <row r="215" spans="1:7" ht="140.4" x14ac:dyDescent="0.25">
      <c r="A215" s="88">
        <f t="shared" si="7"/>
        <v>208</v>
      </c>
      <c r="B215" s="21" t="s">
        <v>193</v>
      </c>
      <c r="C215" s="21" t="s">
        <v>221</v>
      </c>
      <c r="D215" s="32" t="s">
        <v>222</v>
      </c>
      <c r="E215" s="25">
        <f>1010.7+16.77244-193.4</f>
        <v>834.07244000000003</v>
      </c>
      <c r="F215" s="63">
        <v>833.9</v>
      </c>
      <c r="G215" s="61">
        <f t="shared" si="6"/>
        <v>99.979325536760328</v>
      </c>
    </row>
    <row r="216" spans="1:7" ht="140.4" x14ac:dyDescent="0.25">
      <c r="A216" s="88">
        <f t="shared" si="7"/>
        <v>209</v>
      </c>
      <c r="B216" s="21" t="s">
        <v>193</v>
      </c>
      <c r="C216" s="21" t="s">
        <v>223</v>
      </c>
      <c r="D216" s="32" t="s">
        <v>224</v>
      </c>
      <c r="E216" s="25">
        <f>201.5+29.3</f>
        <v>230.8</v>
      </c>
      <c r="F216" s="63">
        <v>230.8</v>
      </c>
      <c r="G216" s="61">
        <f t="shared" si="6"/>
        <v>100</v>
      </c>
    </row>
    <row r="217" spans="1:7" ht="140.4" x14ac:dyDescent="0.25">
      <c r="A217" s="88">
        <f t="shared" si="7"/>
        <v>210</v>
      </c>
      <c r="B217" s="21" t="s">
        <v>193</v>
      </c>
      <c r="C217" s="21" t="s">
        <v>225</v>
      </c>
      <c r="D217" s="32" t="s">
        <v>291</v>
      </c>
      <c r="E217" s="25">
        <f>4504.3+670.9</f>
        <v>5175.2</v>
      </c>
      <c r="F217" s="63">
        <v>4968.2</v>
      </c>
      <c r="G217" s="61">
        <f t="shared" si="6"/>
        <v>96.000154583397745</v>
      </c>
    </row>
    <row r="218" spans="1:7" ht="249.6" x14ac:dyDescent="0.25">
      <c r="A218" s="88">
        <f t="shared" si="7"/>
        <v>211</v>
      </c>
      <c r="B218" s="21" t="s">
        <v>193</v>
      </c>
      <c r="C218" s="21" t="s">
        <v>226</v>
      </c>
      <c r="D218" s="32" t="s">
        <v>227</v>
      </c>
      <c r="E218" s="25">
        <v>506.5</v>
      </c>
      <c r="F218" s="63">
        <v>506.5</v>
      </c>
      <c r="G218" s="61">
        <f t="shared" si="6"/>
        <v>100</v>
      </c>
    </row>
    <row r="219" spans="1:7" ht="358.8" x14ac:dyDescent="0.25">
      <c r="A219" s="88">
        <f t="shared" si="7"/>
        <v>212</v>
      </c>
      <c r="B219" s="21" t="s">
        <v>193</v>
      </c>
      <c r="C219" s="21" t="s">
        <v>228</v>
      </c>
      <c r="D219" s="32" t="s">
        <v>292</v>
      </c>
      <c r="E219" s="25">
        <v>302084.40000000002</v>
      </c>
      <c r="F219" s="63">
        <v>301860.2</v>
      </c>
      <c r="G219" s="61">
        <f t="shared" si="6"/>
        <v>99.925782331030661</v>
      </c>
    </row>
    <row r="220" spans="1:7" ht="187.2" x14ac:dyDescent="0.25">
      <c r="A220" s="88">
        <f t="shared" si="7"/>
        <v>213</v>
      </c>
      <c r="B220" s="21" t="s">
        <v>193</v>
      </c>
      <c r="C220" s="21" t="s">
        <v>229</v>
      </c>
      <c r="D220" s="32" t="s">
        <v>230</v>
      </c>
      <c r="E220" s="25">
        <v>3808.8</v>
      </c>
      <c r="F220" s="63">
        <v>3808.8</v>
      </c>
      <c r="G220" s="61">
        <f t="shared" si="6"/>
        <v>100</v>
      </c>
    </row>
    <row r="221" spans="1:7" ht="124.8" x14ac:dyDescent="0.25">
      <c r="A221" s="88">
        <f t="shared" si="7"/>
        <v>214</v>
      </c>
      <c r="B221" s="21" t="s">
        <v>193</v>
      </c>
      <c r="C221" s="21" t="s">
        <v>231</v>
      </c>
      <c r="D221" s="32" t="s">
        <v>232</v>
      </c>
      <c r="E221" s="25">
        <f>3818.6-3669-10.5</f>
        <v>139.09999999999991</v>
      </c>
      <c r="F221" s="63">
        <v>139.1</v>
      </c>
      <c r="G221" s="61">
        <f t="shared" si="6"/>
        <v>100.00000000000007</v>
      </c>
    </row>
    <row r="222" spans="1:7" ht="218.4" x14ac:dyDescent="0.25">
      <c r="A222" s="88">
        <f t="shared" si="7"/>
        <v>215</v>
      </c>
      <c r="B222" s="21" t="s">
        <v>193</v>
      </c>
      <c r="C222" s="21" t="s">
        <v>233</v>
      </c>
      <c r="D222" s="32" t="s">
        <v>234</v>
      </c>
      <c r="E222" s="25">
        <f>25912.3+72.2-1068.08023+40023.93714</f>
        <v>64940.356910000002</v>
      </c>
      <c r="F222" s="63">
        <v>64179.6</v>
      </c>
      <c r="G222" s="61">
        <f t="shared" si="6"/>
        <v>98.828529829218027</v>
      </c>
    </row>
    <row r="223" spans="1:7" ht="374.4" x14ac:dyDescent="0.25">
      <c r="A223" s="88">
        <f t="shared" si="7"/>
        <v>216</v>
      </c>
      <c r="B223" s="21" t="s">
        <v>193</v>
      </c>
      <c r="C223" s="21" t="s">
        <v>235</v>
      </c>
      <c r="D223" s="32" t="s">
        <v>236</v>
      </c>
      <c r="E223" s="25">
        <f>150464.3+9877.2+2226.1+15933.5</f>
        <v>178501.1</v>
      </c>
      <c r="F223" s="63">
        <v>178501.1</v>
      </c>
      <c r="G223" s="61">
        <f t="shared" si="6"/>
        <v>100</v>
      </c>
    </row>
    <row r="224" spans="1:7" ht="140.4" x14ac:dyDescent="0.25">
      <c r="A224" s="88">
        <f t="shared" si="7"/>
        <v>217</v>
      </c>
      <c r="B224" s="21" t="s">
        <v>193</v>
      </c>
      <c r="C224" s="21" t="s">
        <v>237</v>
      </c>
      <c r="D224" s="32" t="s">
        <v>238</v>
      </c>
      <c r="E224" s="25">
        <f>1023.4+167.7+376.1</f>
        <v>1567.1999999999998</v>
      </c>
      <c r="F224" s="63">
        <v>1268.0999999999999</v>
      </c>
      <c r="G224" s="61">
        <f t="shared" si="6"/>
        <v>80.915007656967845</v>
      </c>
    </row>
    <row r="225" spans="1:7" ht="124.8" x14ac:dyDescent="0.25">
      <c r="A225" s="88">
        <f t="shared" si="7"/>
        <v>218</v>
      </c>
      <c r="B225" s="21" t="s">
        <v>193</v>
      </c>
      <c r="C225" s="21" t="s">
        <v>239</v>
      </c>
      <c r="D225" s="32" t="s">
        <v>240</v>
      </c>
      <c r="E225" s="25">
        <v>11655.7</v>
      </c>
      <c r="F225" s="63">
        <v>11655.6</v>
      </c>
      <c r="G225" s="61">
        <f t="shared" si="6"/>
        <v>99.999142050670486</v>
      </c>
    </row>
    <row r="226" spans="1:7" ht="202.8" x14ac:dyDescent="0.25">
      <c r="A226" s="88">
        <f t="shared" si="7"/>
        <v>219</v>
      </c>
      <c r="B226" s="21" t="s">
        <v>193</v>
      </c>
      <c r="C226" s="21" t="s">
        <v>241</v>
      </c>
      <c r="D226" s="32" t="s">
        <v>242</v>
      </c>
      <c r="E226" s="25">
        <f>223+38.2+27.5</f>
        <v>288.7</v>
      </c>
      <c r="F226" s="63">
        <v>288.7</v>
      </c>
      <c r="G226" s="61">
        <f t="shared" si="6"/>
        <v>100</v>
      </c>
    </row>
    <row r="227" spans="1:7" ht="109.2" x14ac:dyDescent="0.25">
      <c r="A227" s="88">
        <f t="shared" si="7"/>
        <v>220</v>
      </c>
      <c r="B227" s="21" t="s">
        <v>45</v>
      </c>
      <c r="C227" s="21" t="s">
        <v>243</v>
      </c>
      <c r="D227" s="32" t="s">
        <v>244</v>
      </c>
      <c r="E227" s="25">
        <f>E228</f>
        <v>1454.9</v>
      </c>
      <c r="F227" s="25">
        <f>F228</f>
        <v>1402.8</v>
      </c>
      <c r="G227" s="61">
        <f t="shared" si="6"/>
        <v>96.418997869269347</v>
      </c>
    </row>
    <row r="228" spans="1:7" ht="109.2" x14ac:dyDescent="0.25">
      <c r="A228" s="88">
        <f t="shared" si="7"/>
        <v>221</v>
      </c>
      <c r="B228" s="21" t="s">
        <v>193</v>
      </c>
      <c r="C228" s="21" t="s">
        <v>245</v>
      </c>
      <c r="D228" s="28" t="s">
        <v>246</v>
      </c>
      <c r="E228" s="25">
        <v>1454.9</v>
      </c>
      <c r="F228" s="63">
        <v>1402.8</v>
      </c>
      <c r="G228" s="61">
        <f t="shared" si="6"/>
        <v>96.418997869269347</v>
      </c>
    </row>
    <row r="229" spans="1:7" ht="93.6" x14ac:dyDescent="0.25">
      <c r="A229" s="88">
        <f t="shared" si="7"/>
        <v>222</v>
      </c>
      <c r="B229" s="21" t="s">
        <v>45</v>
      </c>
      <c r="C229" s="21" t="s">
        <v>365</v>
      </c>
      <c r="D229" s="28" t="s">
        <v>367</v>
      </c>
      <c r="E229" s="25">
        <f>E230</f>
        <v>3627.51386</v>
      </c>
      <c r="F229" s="25">
        <f>F230</f>
        <v>3627.5</v>
      </c>
      <c r="G229" s="61">
        <f t="shared" si="6"/>
        <v>99.999617920136629</v>
      </c>
    </row>
    <row r="230" spans="1:7" ht="109.2" x14ac:dyDescent="0.25">
      <c r="A230" s="88">
        <f t="shared" si="7"/>
        <v>223</v>
      </c>
      <c r="B230" s="21" t="s">
        <v>193</v>
      </c>
      <c r="C230" s="21" t="s">
        <v>364</v>
      </c>
      <c r="D230" s="28" t="s">
        <v>366</v>
      </c>
      <c r="E230" s="25">
        <f>3641.5-13.98614</f>
        <v>3627.51386</v>
      </c>
      <c r="F230" s="63">
        <v>3627.5</v>
      </c>
      <c r="G230" s="61">
        <f t="shared" si="6"/>
        <v>99.999617920136629</v>
      </c>
    </row>
    <row r="231" spans="1:7" ht="62.4" x14ac:dyDescent="0.25">
      <c r="A231" s="88">
        <f t="shared" si="7"/>
        <v>224</v>
      </c>
      <c r="B231" s="21" t="s">
        <v>45</v>
      </c>
      <c r="C231" s="21" t="s">
        <v>247</v>
      </c>
      <c r="D231" s="28" t="s">
        <v>248</v>
      </c>
      <c r="E231" s="25">
        <f>E232</f>
        <v>6026.9000000000005</v>
      </c>
      <c r="F231" s="25">
        <f>F232</f>
        <v>6026.9</v>
      </c>
      <c r="G231" s="61">
        <f t="shared" si="6"/>
        <v>99.999999999999986</v>
      </c>
    </row>
    <row r="232" spans="1:7" ht="78" x14ac:dyDescent="0.25">
      <c r="A232" s="88">
        <f t="shared" si="7"/>
        <v>225</v>
      </c>
      <c r="B232" s="21" t="s">
        <v>193</v>
      </c>
      <c r="C232" s="21" t="s">
        <v>249</v>
      </c>
      <c r="D232" s="28" t="s">
        <v>250</v>
      </c>
      <c r="E232" s="25">
        <f>5983.1+43.8</f>
        <v>6026.9000000000005</v>
      </c>
      <c r="F232" s="63">
        <v>6026.9</v>
      </c>
      <c r="G232" s="61">
        <f t="shared" si="6"/>
        <v>99.999999999999986</v>
      </c>
    </row>
    <row r="233" spans="1:7" ht="78" x14ac:dyDescent="0.25">
      <c r="A233" s="88">
        <f t="shared" si="7"/>
        <v>226</v>
      </c>
      <c r="B233" s="21" t="s">
        <v>45</v>
      </c>
      <c r="C233" s="21" t="s">
        <v>251</v>
      </c>
      <c r="D233" s="28" t="s">
        <v>252</v>
      </c>
      <c r="E233" s="25">
        <f>E234</f>
        <v>4.0999999999999996</v>
      </c>
      <c r="F233" s="25">
        <f>F234</f>
        <v>4.0999999999999996</v>
      </c>
      <c r="G233" s="61">
        <f t="shared" si="6"/>
        <v>100</v>
      </c>
    </row>
    <row r="234" spans="1:7" ht="93.6" x14ac:dyDescent="0.25">
      <c r="A234" s="88">
        <f t="shared" si="7"/>
        <v>227</v>
      </c>
      <c r="B234" s="21" t="s">
        <v>193</v>
      </c>
      <c r="C234" s="21" t="s">
        <v>253</v>
      </c>
      <c r="D234" s="28" t="s">
        <v>254</v>
      </c>
      <c r="E234" s="25">
        <v>4.0999999999999996</v>
      </c>
      <c r="F234" s="63">
        <v>4.0999999999999996</v>
      </c>
      <c r="G234" s="61">
        <f t="shared" si="6"/>
        <v>100</v>
      </c>
    </row>
    <row r="235" spans="1:7" ht="15.6" x14ac:dyDescent="0.3">
      <c r="A235" s="88">
        <f t="shared" si="7"/>
        <v>228</v>
      </c>
      <c r="B235" s="19" t="s">
        <v>45</v>
      </c>
      <c r="C235" s="19" t="s">
        <v>321</v>
      </c>
      <c r="D235" s="54" t="s">
        <v>322</v>
      </c>
      <c r="E235" s="24">
        <f>E238+E240+E242+E236</f>
        <v>176740.20767</v>
      </c>
      <c r="F235" s="24">
        <f>F238+F240+F242+F236</f>
        <v>152392.79999999999</v>
      </c>
      <c r="G235" s="61">
        <f t="shared" si="6"/>
        <v>86.224182945705138</v>
      </c>
    </row>
    <row r="236" spans="1:7" ht="218.4" x14ac:dyDescent="0.3">
      <c r="A236" s="88">
        <f t="shared" si="7"/>
        <v>229</v>
      </c>
      <c r="B236" s="35" t="s">
        <v>45</v>
      </c>
      <c r="C236" s="36" t="s">
        <v>323</v>
      </c>
      <c r="D236" s="37" t="s">
        <v>324</v>
      </c>
      <c r="E236" s="25">
        <f>E237</f>
        <v>535.6</v>
      </c>
      <c r="F236" s="25">
        <f>F237</f>
        <v>519.29999999999995</v>
      </c>
      <c r="G236" s="61">
        <f t="shared" si="6"/>
        <v>96.956684092606409</v>
      </c>
    </row>
    <row r="237" spans="1:7" ht="234" x14ac:dyDescent="0.3">
      <c r="A237" s="88">
        <f t="shared" si="7"/>
        <v>230</v>
      </c>
      <c r="B237" s="35" t="s">
        <v>193</v>
      </c>
      <c r="C237" s="36" t="s">
        <v>325</v>
      </c>
      <c r="D237" s="37" t="s">
        <v>326</v>
      </c>
      <c r="E237" s="25">
        <v>535.6</v>
      </c>
      <c r="F237" s="63">
        <v>519.29999999999995</v>
      </c>
      <c r="G237" s="61">
        <f t="shared" si="6"/>
        <v>96.956684092606409</v>
      </c>
    </row>
    <row r="238" spans="1:7" ht="93.6" x14ac:dyDescent="0.3">
      <c r="A238" s="88">
        <f t="shared" si="7"/>
        <v>231</v>
      </c>
      <c r="B238" s="35" t="s">
        <v>45</v>
      </c>
      <c r="C238" s="36" t="s">
        <v>327</v>
      </c>
      <c r="D238" s="29" t="s">
        <v>328</v>
      </c>
      <c r="E238" s="25">
        <f>E239</f>
        <v>32837.800000000003</v>
      </c>
      <c r="F238" s="25">
        <f>F239</f>
        <v>32776.699999999997</v>
      </c>
      <c r="G238" s="61">
        <f t="shared" si="6"/>
        <v>99.813933941981475</v>
      </c>
    </row>
    <row r="239" spans="1:7" ht="109.2" x14ac:dyDescent="0.3">
      <c r="A239" s="88">
        <f t="shared" si="7"/>
        <v>232</v>
      </c>
      <c r="B239" s="35" t="s">
        <v>193</v>
      </c>
      <c r="C239" s="36" t="s">
        <v>329</v>
      </c>
      <c r="D239" s="29" t="s">
        <v>330</v>
      </c>
      <c r="E239" s="25">
        <v>32837.800000000003</v>
      </c>
      <c r="F239" s="63">
        <v>32776.699999999997</v>
      </c>
      <c r="G239" s="61">
        <f t="shared" si="6"/>
        <v>99.813933941981475</v>
      </c>
    </row>
    <row r="240" spans="1:7" ht="109.2" x14ac:dyDescent="0.3">
      <c r="A240" s="88">
        <f t="shared" si="7"/>
        <v>233</v>
      </c>
      <c r="B240" s="35" t="s">
        <v>45</v>
      </c>
      <c r="C240" s="36" t="s">
        <v>331</v>
      </c>
      <c r="D240" s="29" t="s">
        <v>332</v>
      </c>
      <c r="E240" s="25">
        <f>E241</f>
        <v>1992</v>
      </c>
      <c r="F240" s="25">
        <f>F241</f>
        <v>1991.6</v>
      </c>
      <c r="G240" s="61">
        <f t="shared" si="6"/>
        <v>99.97991967871485</v>
      </c>
    </row>
    <row r="241" spans="1:7" ht="124.8" x14ac:dyDescent="0.3">
      <c r="A241" s="88">
        <f t="shared" si="7"/>
        <v>234</v>
      </c>
      <c r="B241" s="35" t="s">
        <v>193</v>
      </c>
      <c r="C241" s="36" t="s">
        <v>333</v>
      </c>
      <c r="D241" s="29" t="s">
        <v>334</v>
      </c>
      <c r="E241" s="25">
        <v>1992</v>
      </c>
      <c r="F241" s="63">
        <v>1991.6</v>
      </c>
      <c r="G241" s="61">
        <f t="shared" si="6"/>
        <v>99.97991967871485</v>
      </c>
    </row>
    <row r="242" spans="1:7" ht="31.2" x14ac:dyDescent="0.3">
      <c r="A242" s="88">
        <f t="shared" si="7"/>
        <v>235</v>
      </c>
      <c r="B242" s="69" t="s">
        <v>45</v>
      </c>
      <c r="C242" s="41" t="s">
        <v>310</v>
      </c>
      <c r="D242" s="70" t="s">
        <v>311</v>
      </c>
      <c r="E242" s="24">
        <f>E243</f>
        <v>141374.80766999998</v>
      </c>
      <c r="F242" s="24">
        <f>F243</f>
        <v>117105.20000000001</v>
      </c>
      <c r="G242" s="89">
        <f t="shared" si="6"/>
        <v>82.833145402644448</v>
      </c>
    </row>
    <row r="243" spans="1:7" ht="46.8" x14ac:dyDescent="0.3">
      <c r="A243" s="88">
        <f t="shared" si="7"/>
        <v>236</v>
      </c>
      <c r="B243" s="69" t="s">
        <v>45</v>
      </c>
      <c r="C243" s="41" t="s">
        <v>312</v>
      </c>
      <c r="D243" s="70" t="s">
        <v>313</v>
      </c>
      <c r="E243" s="24">
        <f>E255+E245+E246+E247+E248+E249+E250+E253+E251+E254+E252+E244</f>
        <v>141374.80766999998</v>
      </c>
      <c r="F243" s="24">
        <f>F255+F245+F246+F247+F248+F249+F250+F253+F251+F254+F252+F244</f>
        <v>117105.20000000001</v>
      </c>
      <c r="G243" s="89">
        <f>F243/E243*100</f>
        <v>82.833145402644448</v>
      </c>
    </row>
    <row r="244" spans="1:7" ht="46.8" x14ac:dyDescent="0.25">
      <c r="A244" s="88">
        <f t="shared" si="7"/>
        <v>237</v>
      </c>
      <c r="B244" s="31">
        <v>991</v>
      </c>
      <c r="C244" s="21" t="s">
        <v>440</v>
      </c>
      <c r="D244" s="31" t="s">
        <v>441</v>
      </c>
      <c r="E244" s="25">
        <v>192.08967000000001</v>
      </c>
      <c r="F244" s="63">
        <v>192.1</v>
      </c>
      <c r="G244" s="61">
        <f t="shared" si="6"/>
        <v>100.00537769678088</v>
      </c>
    </row>
    <row r="245" spans="1:7" ht="140.4" x14ac:dyDescent="0.3">
      <c r="A245" s="88">
        <f t="shared" si="7"/>
        <v>238</v>
      </c>
      <c r="B245" s="35" t="s">
        <v>193</v>
      </c>
      <c r="C245" s="36" t="s">
        <v>314</v>
      </c>
      <c r="D245" s="29" t="s">
        <v>315</v>
      </c>
      <c r="E245" s="25">
        <v>5731.1</v>
      </c>
      <c r="F245" s="63">
        <v>5731.1</v>
      </c>
      <c r="G245" s="61">
        <f t="shared" si="6"/>
        <v>100</v>
      </c>
    </row>
    <row r="246" spans="1:7" ht="140.4" x14ac:dyDescent="0.3">
      <c r="A246" s="88">
        <f t="shared" si="7"/>
        <v>239</v>
      </c>
      <c r="B246" s="21" t="s">
        <v>193</v>
      </c>
      <c r="C246" s="38" t="s">
        <v>357</v>
      </c>
      <c r="D246" s="29" t="s">
        <v>316</v>
      </c>
      <c r="E246" s="25">
        <v>306.60000000000002</v>
      </c>
      <c r="F246" s="63">
        <v>306.60000000000002</v>
      </c>
      <c r="G246" s="61">
        <f t="shared" si="6"/>
        <v>100</v>
      </c>
    </row>
    <row r="247" spans="1:7" ht="140.4" x14ac:dyDescent="0.25">
      <c r="A247" s="88">
        <f t="shared" si="7"/>
        <v>240</v>
      </c>
      <c r="B247" s="82">
        <v>991</v>
      </c>
      <c r="C247" s="21" t="s">
        <v>317</v>
      </c>
      <c r="D247" s="31" t="s">
        <v>318</v>
      </c>
      <c r="E247" s="25">
        <v>2643</v>
      </c>
      <c r="F247" s="63">
        <v>2597</v>
      </c>
      <c r="G247" s="61">
        <f t="shared" si="6"/>
        <v>98.25955353764661</v>
      </c>
    </row>
    <row r="248" spans="1:7" ht="62.4" x14ac:dyDescent="0.25">
      <c r="A248" s="88">
        <f t="shared" si="7"/>
        <v>241</v>
      </c>
      <c r="B248" s="82">
        <v>991</v>
      </c>
      <c r="C248" s="36" t="s">
        <v>337</v>
      </c>
      <c r="D248" s="31" t="s">
        <v>338</v>
      </c>
      <c r="E248" s="25">
        <v>822.4</v>
      </c>
      <c r="F248" s="63">
        <v>822.4</v>
      </c>
      <c r="G248" s="61">
        <f t="shared" si="6"/>
        <v>100</v>
      </c>
    </row>
    <row r="249" spans="1:7" ht="62.4" x14ac:dyDescent="0.25">
      <c r="A249" s="88">
        <f t="shared" si="7"/>
        <v>242</v>
      </c>
      <c r="B249" s="82">
        <v>991</v>
      </c>
      <c r="C249" s="36" t="s">
        <v>358</v>
      </c>
      <c r="D249" s="31" t="s">
        <v>359</v>
      </c>
      <c r="E249" s="25">
        <f>722.6</f>
        <v>722.6</v>
      </c>
      <c r="F249" s="63">
        <v>722.6</v>
      </c>
      <c r="G249" s="61">
        <f t="shared" si="6"/>
        <v>100</v>
      </c>
    </row>
    <row r="250" spans="1:7" ht="234" x14ac:dyDescent="0.25">
      <c r="A250" s="88">
        <f t="shared" si="7"/>
        <v>243</v>
      </c>
      <c r="B250" s="82">
        <v>991</v>
      </c>
      <c r="C250" s="36" t="s">
        <v>360</v>
      </c>
      <c r="D250" s="31" t="s">
        <v>361</v>
      </c>
      <c r="E250" s="25">
        <v>149</v>
      </c>
      <c r="F250" s="63">
        <v>149</v>
      </c>
      <c r="G250" s="61">
        <f t="shared" si="6"/>
        <v>100</v>
      </c>
    </row>
    <row r="251" spans="1:7" ht="93.6" x14ac:dyDescent="0.25">
      <c r="A251" s="88">
        <f t="shared" si="7"/>
        <v>244</v>
      </c>
      <c r="B251" s="82">
        <v>991</v>
      </c>
      <c r="C251" s="39" t="s">
        <v>372</v>
      </c>
      <c r="D251" s="40" t="s">
        <v>373</v>
      </c>
      <c r="E251" s="25">
        <v>5188.9080000000004</v>
      </c>
      <c r="F251" s="63">
        <v>5081</v>
      </c>
      <c r="G251" s="61">
        <f t="shared" si="6"/>
        <v>97.920410228895932</v>
      </c>
    </row>
    <row r="252" spans="1:7" ht="171.6" x14ac:dyDescent="0.3">
      <c r="A252" s="88">
        <f t="shared" si="7"/>
        <v>245</v>
      </c>
      <c r="B252" s="82">
        <v>991</v>
      </c>
      <c r="C252" s="39" t="s">
        <v>430</v>
      </c>
      <c r="D252" s="81" t="s">
        <v>431</v>
      </c>
      <c r="E252" s="25">
        <v>114591</v>
      </c>
      <c r="F252" s="63">
        <v>91418.7</v>
      </c>
      <c r="G252" s="61">
        <f t="shared" si="6"/>
        <v>79.778254836767275</v>
      </c>
    </row>
    <row r="253" spans="1:7" ht="156" x14ac:dyDescent="0.25">
      <c r="A253" s="88">
        <f t="shared" si="7"/>
        <v>246</v>
      </c>
      <c r="B253" s="82">
        <v>991</v>
      </c>
      <c r="C253" s="36" t="s">
        <v>362</v>
      </c>
      <c r="D253" s="31" t="s">
        <v>363</v>
      </c>
      <c r="E253" s="25">
        <f>1023.97-29.06</f>
        <v>994.91000000000008</v>
      </c>
      <c r="F253" s="63">
        <v>718.5</v>
      </c>
      <c r="G253" s="61">
        <f t="shared" si="6"/>
        <v>72.217587520479228</v>
      </c>
    </row>
    <row r="254" spans="1:7" ht="62.4" x14ac:dyDescent="0.25">
      <c r="A254" s="88">
        <f t="shared" si="7"/>
        <v>247</v>
      </c>
      <c r="B254" s="83">
        <v>991</v>
      </c>
      <c r="C254" s="83" t="s">
        <v>370</v>
      </c>
      <c r="D254" s="84" t="s">
        <v>371</v>
      </c>
      <c r="E254" s="25">
        <v>3741.1</v>
      </c>
      <c r="F254" s="63">
        <v>3741.1</v>
      </c>
      <c r="G254" s="61">
        <f t="shared" si="6"/>
        <v>100</v>
      </c>
    </row>
    <row r="255" spans="1:7" ht="62.4" x14ac:dyDescent="0.3">
      <c r="A255" s="88">
        <f t="shared" si="7"/>
        <v>248</v>
      </c>
      <c r="B255" s="21" t="s">
        <v>193</v>
      </c>
      <c r="C255" s="36" t="s">
        <v>319</v>
      </c>
      <c r="D255" s="29" t="s">
        <v>320</v>
      </c>
      <c r="E255" s="25">
        <v>6292.1</v>
      </c>
      <c r="F255" s="63">
        <v>5625.1</v>
      </c>
      <c r="G255" s="61">
        <f t="shared" si="6"/>
        <v>89.399405603852458</v>
      </c>
    </row>
    <row r="256" spans="1:7" ht="46.8" x14ac:dyDescent="0.25">
      <c r="A256" s="88">
        <f t="shared" si="7"/>
        <v>249</v>
      </c>
      <c r="B256" s="19" t="s">
        <v>45</v>
      </c>
      <c r="C256" s="41" t="s">
        <v>409</v>
      </c>
      <c r="D256" s="85" t="s">
        <v>410</v>
      </c>
      <c r="E256" s="24">
        <f>E257</f>
        <v>9009.52</v>
      </c>
      <c r="F256" s="24">
        <f>F257</f>
        <v>9009.52</v>
      </c>
      <c r="G256" s="61">
        <f t="shared" si="6"/>
        <v>100</v>
      </c>
    </row>
    <row r="257" spans="1:7" ht="78" x14ac:dyDescent="0.25">
      <c r="A257" s="88">
        <f t="shared" si="7"/>
        <v>250</v>
      </c>
      <c r="B257" s="21" t="s">
        <v>193</v>
      </c>
      <c r="C257" s="86" t="s">
        <v>411</v>
      </c>
      <c r="D257" s="87" t="s">
        <v>412</v>
      </c>
      <c r="E257" s="25">
        <f>8919.52+90</f>
        <v>9009.52</v>
      </c>
      <c r="F257" s="63">
        <v>9009.52</v>
      </c>
      <c r="G257" s="61">
        <f t="shared" ref="G257:G264" si="8">F257/E257*100</f>
        <v>100</v>
      </c>
    </row>
    <row r="258" spans="1:7" ht="31.2" x14ac:dyDescent="0.25">
      <c r="A258" s="88">
        <f t="shared" si="7"/>
        <v>251</v>
      </c>
      <c r="B258" s="73" t="s">
        <v>45</v>
      </c>
      <c r="C258" s="5" t="s">
        <v>171</v>
      </c>
      <c r="D258" s="6" t="s">
        <v>39</v>
      </c>
      <c r="E258" s="7">
        <f>E259</f>
        <v>148.77386999999999</v>
      </c>
      <c r="F258" s="7">
        <f>F259</f>
        <v>148.77000000000001</v>
      </c>
      <c r="G258" s="89">
        <f t="shared" si="8"/>
        <v>99.997398736753979</v>
      </c>
    </row>
    <row r="259" spans="1:7" ht="31.2" x14ac:dyDescent="0.25">
      <c r="A259" s="88">
        <f t="shared" si="7"/>
        <v>252</v>
      </c>
      <c r="B259" s="73" t="s">
        <v>45</v>
      </c>
      <c r="C259" s="73" t="s">
        <v>173</v>
      </c>
      <c r="D259" s="8" t="s">
        <v>40</v>
      </c>
      <c r="E259" s="9">
        <f>SUM(E260:E260)</f>
        <v>148.77386999999999</v>
      </c>
      <c r="F259" s="9">
        <f>SUM(F260:F260)</f>
        <v>148.77000000000001</v>
      </c>
      <c r="G259" s="61">
        <f t="shared" si="8"/>
        <v>99.997398736753979</v>
      </c>
    </row>
    <row r="260" spans="1:7" ht="31.2" x14ac:dyDescent="0.25">
      <c r="A260" s="88">
        <f t="shared" si="7"/>
        <v>253</v>
      </c>
      <c r="B260" s="73" t="s">
        <v>271</v>
      </c>
      <c r="C260" s="73" t="s">
        <v>172</v>
      </c>
      <c r="D260" s="8" t="s">
        <v>40</v>
      </c>
      <c r="E260" s="9">
        <f>1300-1151.22613</f>
        <v>148.77386999999999</v>
      </c>
      <c r="F260" s="63">
        <v>148.77000000000001</v>
      </c>
      <c r="G260" s="61">
        <f t="shared" si="8"/>
        <v>99.997398736753979</v>
      </c>
    </row>
    <row r="261" spans="1:7" ht="62.4" x14ac:dyDescent="0.25">
      <c r="A261" s="88">
        <f t="shared" si="7"/>
        <v>254</v>
      </c>
      <c r="B261" s="73" t="s">
        <v>45</v>
      </c>
      <c r="C261" s="73" t="s">
        <v>304</v>
      </c>
      <c r="D261" s="42" t="s">
        <v>305</v>
      </c>
      <c r="E261" s="7">
        <f>SUM(E262:E263)</f>
        <v>-24279.25359</v>
      </c>
      <c r="F261" s="7">
        <f>SUM(F262:F263)</f>
        <v>-24320.699990000001</v>
      </c>
      <c r="G261" s="89">
        <f t="shared" si="8"/>
        <v>100.17070706002704</v>
      </c>
    </row>
    <row r="262" spans="1:7" ht="109.2" x14ac:dyDescent="0.25">
      <c r="A262" s="88">
        <f t="shared" si="7"/>
        <v>255</v>
      </c>
      <c r="B262" s="73" t="s">
        <v>193</v>
      </c>
      <c r="C262" s="73" t="s">
        <v>306</v>
      </c>
      <c r="D262" s="43" t="s">
        <v>307</v>
      </c>
      <c r="E262" s="44">
        <v>-1.0000000000000001E-5</v>
      </c>
      <c r="F262" s="63">
        <v>1.0000000000000001E-5</v>
      </c>
      <c r="G262" s="61">
        <f t="shared" si="8"/>
        <v>-100</v>
      </c>
    </row>
    <row r="263" spans="1:7" ht="78" x14ac:dyDescent="0.25">
      <c r="A263" s="88">
        <f t="shared" si="7"/>
        <v>256</v>
      </c>
      <c r="B263" s="73" t="s">
        <v>193</v>
      </c>
      <c r="C263" s="73" t="s">
        <v>308</v>
      </c>
      <c r="D263" s="43" t="s">
        <v>309</v>
      </c>
      <c r="E263" s="25">
        <f>-23895.82578+384.75014-12.82-672.89588-62.88897-19.57309</f>
        <v>-24279.253580000001</v>
      </c>
      <c r="F263" s="63">
        <v>-24320.7</v>
      </c>
      <c r="G263" s="61">
        <f t="shared" si="8"/>
        <v>100.17070714247221</v>
      </c>
    </row>
    <row r="264" spans="1:7" ht="15.6" x14ac:dyDescent="0.3">
      <c r="A264" s="88">
        <f t="shared" si="7"/>
        <v>257</v>
      </c>
      <c r="B264" s="93" t="s">
        <v>303</v>
      </c>
      <c r="C264" s="93"/>
      <c r="D264" s="93"/>
      <c r="E264" s="60">
        <f>E9+E166</f>
        <v>2385519.0582799995</v>
      </c>
      <c r="F264" s="60">
        <f>F9+F166</f>
        <v>2358151.5249800002</v>
      </c>
      <c r="G264" s="89">
        <f t="shared" si="8"/>
        <v>98.852764005174961</v>
      </c>
    </row>
  </sheetData>
  <mergeCells count="11">
    <mergeCell ref="F6:F7"/>
    <mergeCell ref="G6:G7"/>
    <mergeCell ref="A2:G2"/>
    <mergeCell ref="B264:D264"/>
    <mergeCell ref="A6:A7"/>
    <mergeCell ref="B6:B7"/>
    <mergeCell ref="C6:C7"/>
    <mergeCell ref="D6:D7"/>
    <mergeCell ref="E6:E7"/>
    <mergeCell ref="A4:G4"/>
    <mergeCell ref="F5:G5"/>
  </mergeCells>
  <pageMargins left="0.59055118110236227" right="0.19685039370078741" top="0.15748031496062992" bottom="0.19685039370078741" header="0" footer="0"/>
  <pageSetup paperSize="9" scale="85" firstPageNumber="4" orientation="portrait" useFirstPageNumber="1" r:id="rId1"/>
  <headerFooter>
    <oddFooter>&amp;C &amp;R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04fobma</dc:creator>
  <dc:description>POI HSSF rep:2.53.0.159</dc:description>
  <cp:lastModifiedBy>Юлия В. Просвирнина</cp:lastModifiedBy>
  <cp:lastPrinted>2026-03-24T07:32:51Z</cp:lastPrinted>
  <dcterms:created xsi:type="dcterms:W3CDTF">2021-11-01T09:50:52Z</dcterms:created>
  <dcterms:modified xsi:type="dcterms:W3CDTF">2026-05-28T01:23:35Z</dcterms:modified>
</cp:coreProperties>
</file>