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7115" windowHeight="12780"/>
  </bookViews>
  <sheets>
    <sheet name="2023-2025" sheetId="1" r:id="rId1"/>
  </sheets>
  <definedNames>
    <definedName name="_xlnm._FilterDatabase" localSheetId="0" hidden="1">'2023-2025'!$A$15:$D$65</definedName>
    <definedName name="_xlnm.Print_Titles" localSheetId="0">'2023-2025'!$15:$16</definedName>
  </definedNames>
  <calcPr calcId="124519"/>
</workbook>
</file>

<file path=xl/calcChain.xml><?xml version="1.0" encoding="utf-8"?>
<calcChain xmlns="http://schemas.openxmlformats.org/spreadsheetml/2006/main">
  <c r="D24" i="1"/>
  <c r="D23"/>
  <c r="D22"/>
  <c r="D46"/>
  <c r="D55"/>
  <c r="D54"/>
  <c r="D44"/>
  <c r="D43"/>
  <c r="D42"/>
  <c r="D59"/>
  <c r="D37"/>
  <c r="D35"/>
  <c r="D33"/>
  <c r="D32"/>
  <c r="D28"/>
  <c r="D36" l="1"/>
  <c r="D21"/>
  <c r="D60"/>
  <c r="D45" l="1"/>
  <c r="D38"/>
  <c r="D20" l="1"/>
  <c r="D34" l="1"/>
  <c r="D61"/>
  <c r="D56"/>
  <c r="D53"/>
  <c r="D51"/>
  <c r="D62"/>
  <c r="F64"/>
  <c r="E64"/>
  <c r="E65" l="1"/>
  <c r="E39"/>
  <c r="F39"/>
  <c r="F65"/>
  <c r="F61"/>
  <c r="E61"/>
  <c r="F60"/>
  <c r="E60"/>
  <c r="F59"/>
  <c r="E59"/>
  <c r="F58"/>
  <c r="E58"/>
  <c r="F57"/>
  <c r="E57"/>
  <c r="F56"/>
  <c r="E56"/>
  <c r="F55"/>
  <c r="E55"/>
  <c r="F54"/>
  <c r="E54"/>
  <c r="F53"/>
  <c r="E53"/>
  <c r="F52"/>
  <c r="E52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E26"/>
  <c r="F25"/>
  <c r="E25"/>
  <c r="F24"/>
  <c r="E24"/>
  <c r="F22"/>
  <c r="E22"/>
  <c r="F21"/>
  <c r="E21"/>
  <c r="F20"/>
  <c r="E20"/>
  <c r="F19"/>
  <c r="E19"/>
  <c r="F18"/>
  <c r="E18"/>
  <c r="F17"/>
  <c r="E17"/>
  <c r="D39" l="1"/>
  <c r="D41" l="1"/>
  <c r="D26"/>
  <c r="D57"/>
  <c r="D29"/>
  <c r="D27" s="1"/>
  <c r="D17"/>
  <c r="D47"/>
  <c r="D30"/>
  <c r="D50"/>
  <c r="D25"/>
  <c r="D52"/>
  <c r="D65" l="1"/>
</calcChain>
</file>

<file path=xl/sharedStrings.xml><?xml version="1.0" encoding="utf-8"?>
<sst xmlns="http://schemas.openxmlformats.org/spreadsheetml/2006/main" count="168" uniqueCount="164">
  <si>
    <t>0800</t>
  </si>
  <si>
    <t>Культура</t>
  </si>
  <si>
    <t>0801</t>
  </si>
  <si>
    <t>Физическая культура и спорт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</si>
  <si>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</si>
  <si>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</si>
  <si>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</si>
  <si>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</si>
  <si>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</si>
  <si>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</si>
  <si>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</si>
  <si>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</si>
  <si>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Транспорт</t>
  </si>
  <si>
    <t>0408</t>
  </si>
  <si>
    <t>Другие вопросы в области национальной экономики</t>
  </si>
  <si>
    <t>0412</t>
  </si>
  <si>
    <t>Всего</t>
  </si>
  <si>
    <t>Другие вопросы в области социальной политики</t>
  </si>
  <si>
    <t>Национальная экономика</t>
  </si>
  <si>
    <t>0400</t>
  </si>
  <si>
    <t>(тыс. рублей)</t>
  </si>
  <si>
    <t>№ строки</t>
  </si>
  <si>
    <t>Наименование показателя бюджетной классификации</t>
  </si>
  <si>
    <t>Раздел-подраздел</t>
  </si>
  <si>
    <t>1</t>
  </si>
  <si>
    <t>2</t>
  </si>
  <si>
    <t>3</t>
  </si>
  <si>
    <t>4</t>
  </si>
  <si>
    <t>6</t>
  </si>
  <si>
    <t>7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</si>
  <si>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</si>
  <si>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</si>
  <si>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</si>
  <si>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</si>
  <si>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</si>
  <si>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</t>
  </si>
  <si>
    <t>0103</t>
  </si>
  <si>
    <t>15</t>
  </si>
  <si>
    <t>16</t>
  </si>
  <si>
    <t>17</t>
  </si>
  <si>
    <t>18</t>
  </si>
  <si>
    <t>20</t>
  </si>
  <si>
    <t>21</t>
  </si>
  <si>
    <t>22</t>
  </si>
  <si>
    <t>23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</si>
  <si>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</si>
  <si>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24</t>
  </si>
  <si>
    <t>0106</t>
  </si>
  <si>
    <t>25</t>
  </si>
  <si>
    <t>26</t>
  </si>
  <si>
    <t>27</t>
  </si>
  <si>
    <t>28</t>
  </si>
  <si>
    <t>29</t>
  </si>
  <si>
    <t>30</t>
  </si>
  <si>
    <t>35</t>
  </si>
  <si>
    <t>36</t>
  </si>
  <si>
    <t>37</t>
  </si>
  <si>
    <t>38</t>
  </si>
  <si>
    <t>39</t>
  </si>
  <si>
    <t>Резервные фонды</t>
  </si>
  <si>
    <t>1004</t>
  </si>
  <si>
    <t>1006</t>
  </si>
  <si>
    <t>Охрана семьи и детства</t>
  </si>
  <si>
    <t>Жилищно-коммунальное хозяйство</t>
  </si>
  <si>
    <t>0500</t>
  </si>
  <si>
    <t>Коммунальное хозяйство</t>
  </si>
  <si>
    <t>0502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</si>
  <si>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</si>
  <si>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</si>
  <si>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</si>
  <si>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</si>
  <si>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</si>
  <si>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</si>
  <si>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</si>
  <si>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</si>
  <si>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 и оздоровление детей</t>
  </si>
  <si>
    <t>0707</t>
  </si>
  <si>
    <t>Другие вопросы в области образования</t>
  </si>
  <si>
    <t>0709</t>
  </si>
  <si>
    <t>Благоустройство</t>
  </si>
  <si>
    <t>О503</t>
  </si>
  <si>
    <t>31</t>
  </si>
  <si>
    <t>0111</t>
  </si>
  <si>
    <t>Культура и кинематография</t>
  </si>
  <si>
    <t>Другие вопросы в области культуры, кинематографии</t>
  </si>
  <si>
    <t>1100</t>
  </si>
  <si>
    <t>Массовый спорт</t>
  </si>
  <si>
    <t>1102</t>
  </si>
  <si>
    <t>Другие вопросы в области физической культуры и спорта</t>
  </si>
  <si>
    <t>1105</t>
  </si>
  <si>
    <t>10</t>
  </si>
  <si>
    <t>11</t>
  </si>
  <si>
    <t>Национальная безопасность и правоохранительная деятельность</t>
  </si>
  <si>
    <t>О300</t>
  </si>
  <si>
    <t>5</t>
  </si>
  <si>
    <t>0804</t>
  </si>
  <si>
    <t>13</t>
  </si>
  <si>
    <t>34</t>
  </si>
  <si>
    <t>8</t>
  </si>
  <si>
    <t>к  решению  Дивногорского городского  Совета  депутатов</t>
  </si>
  <si>
    <t>Другие общегосударственные расходы</t>
  </si>
  <si>
    <t>О113</t>
  </si>
  <si>
    <t>Национальная оборона</t>
  </si>
  <si>
    <t>О200</t>
  </si>
  <si>
    <t>Мобилизационная и вневойсковая подготовка</t>
  </si>
  <si>
    <t>О203</t>
  </si>
  <si>
    <t>Дорожное хозяйство</t>
  </si>
  <si>
    <t>О409</t>
  </si>
  <si>
    <t xml:space="preserve">Физическая культура </t>
  </si>
  <si>
    <t>1101</t>
  </si>
  <si>
    <t>40</t>
  </si>
  <si>
    <t>41</t>
  </si>
  <si>
    <t>Условно утвержденные расходы</t>
  </si>
  <si>
    <t>9999</t>
  </si>
  <si>
    <t>19</t>
  </si>
  <si>
    <t>12</t>
  </si>
  <si>
    <t>32</t>
  </si>
  <si>
    <t>33</t>
  </si>
  <si>
    <t>Жилищное хозяйство</t>
  </si>
  <si>
    <t>0501</t>
  </si>
  <si>
    <t>Дополнительное образование детей</t>
  </si>
  <si>
    <t>0703</t>
  </si>
  <si>
    <t>14</t>
  </si>
  <si>
    <t>Судебная система</t>
  </si>
  <si>
    <t>0105</t>
  </si>
  <si>
    <t>О310</t>
  </si>
  <si>
    <t>2023 год</t>
  </si>
  <si>
    <t>Защита населения и территории от чрезвычайных ситуаций природного и техногенного характера, обеспечение пожарной безопасности</t>
  </si>
  <si>
    <t>2024 год</t>
  </si>
  <si>
    <t>Приложение 5</t>
  </si>
  <si>
    <t>42</t>
  </si>
  <si>
    <t>43</t>
  </si>
  <si>
    <t>Здравоохранение</t>
  </si>
  <si>
    <t>Другие вопросы в области здравоохранения</t>
  </si>
  <si>
    <t>0900</t>
  </si>
  <si>
    <t>0909</t>
  </si>
  <si>
    <t>«О  бюджете  города  Дивногорска  на  2023 год</t>
  </si>
  <si>
    <t>и  плановый  период 2024 - 2025 годов"</t>
  </si>
  <si>
    <t xml:space="preserve">Распределение расходов  бюджета г.Дивногорска  по разделам и 
подразделам классификации расходов бюджетов Российской Федерации 
на 2023 - 2025 годы </t>
  </si>
  <si>
    <t>2025 год</t>
  </si>
  <si>
    <t>Другие вопросы в области национальной безопасности и правоохранительной деятельности</t>
  </si>
  <si>
    <t>О314</t>
  </si>
  <si>
    <t>Спорт высших достижений</t>
  </si>
  <si>
    <t>1103</t>
  </si>
  <si>
    <t>44</t>
  </si>
  <si>
    <t>45</t>
  </si>
  <si>
    <t>от  21  декабря  2022 г. № 29 - 190 - ГС</t>
  </si>
  <si>
    <t>к решению Дивногорского городского Совета депутатов</t>
  </si>
  <si>
    <t>в  решение  Дивногорского городского Совета  депутатов</t>
  </si>
  <si>
    <t>от  21 декабря 2022  г. № 29 - 190 -ГС "О бюджете города</t>
  </si>
  <si>
    <t>Дивногорска на 2023 год и плановый период 2024 -2025 годов"</t>
  </si>
  <si>
    <t>Охрана окружающей среды</t>
  </si>
  <si>
    <t>Другие вопросы в области охраны окружающей среды</t>
  </si>
  <si>
    <t>0605</t>
  </si>
  <si>
    <t>46</t>
  </si>
  <si>
    <t>47</t>
  </si>
  <si>
    <t>0600</t>
  </si>
  <si>
    <t>48</t>
  </si>
  <si>
    <t>49</t>
  </si>
  <si>
    <t>1300</t>
  </si>
  <si>
    <t>1301</t>
  </si>
  <si>
    <t xml:space="preserve">Обслуживание государственного (муниципального) внутреннего долга
</t>
  </si>
  <si>
    <t>Приложение 3</t>
  </si>
  <si>
    <t>от 04 октября 2023 г. № 39 -     - НПА "О  внесении  изменений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</si>
</sst>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.0"/>
    <numFmt numFmtId="166" formatCode="_-* #,##0.0_р_._-;\-* #,##0.0_р_._-;_-* &quot;-&quot;??_р_._-;_-@_-"/>
    <numFmt numFmtId="167" formatCode="#,##0.0000000"/>
  </numFmts>
  <fonts count="10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0"/>
      <name val="Helv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 Cyr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49" fontId="0" fillId="0" borderId="0" xfId="0" applyNumberFormat="1"/>
    <xf numFmtId="0" fontId="0" fillId="0" borderId="0" xfId="0" applyNumberFormat="1"/>
    <xf numFmtId="0" fontId="2" fillId="0" borderId="0" xfId="0" applyFont="1" applyFill="1"/>
    <xf numFmtId="49" fontId="0" fillId="0" borderId="0" xfId="0" applyNumberFormat="1" applyAlignment="1">
      <alignment vertical="top"/>
    </xf>
    <xf numFmtId="49" fontId="0" fillId="0" borderId="0" xfId="0" applyNumberFormat="1" applyAlignment="1"/>
    <xf numFmtId="0" fontId="0" fillId="0" borderId="0" xfId="0" applyNumberFormat="1" applyAlignment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165" fontId="0" fillId="0" borderId="0" xfId="0" applyNumberFormat="1"/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/>
    </xf>
    <xf numFmtId="165" fontId="0" fillId="0" borderId="0" xfId="0" applyNumberFormat="1" applyFill="1" applyAlignment="1"/>
    <xf numFmtId="0" fontId="0" fillId="0" borderId="0" xfId="0" applyFill="1"/>
    <xf numFmtId="164" fontId="3" fillId="0" borderId="0" xfId="2" applyFont="1" applyFill="1"/>
    <xf numFmtId="165" fontId="0" fillId="0" borderId="0" xfId="0" applyNumberFormat="1" applyFill="1"/>
    <xf numFmtId="165" fontId="5" fillId="2" borderId="1" xfId="0" applyNumberFormat="1" applyFont="1" applyFill="1" applyBorder="1" applyAlignment="1">
      <alignment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NumberFormat="1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center" vertical="top"/>
    </xf>
    <xf numFmtId="165" fontId="6" fillId="2" borderId="1" xfId="0" applyNumberFormat="1" applyFont="1" applyFill="1" applyBorder="1" applyAlignment="1">
      <alignment vertical="top"/>
    </xf>
    <xf numFmtId="49" fontId="5" fillId="2" borderId="1" xfId="0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wrapText="1"/>
    </xf>
    <xf numFmtId="0" fontId="6" fillId="2" borderId="1" xfId="0" applyNumberFormat="1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center" wrapText="1"/>
    </xf>
    <xf numFmtId="165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165" fontId="5" fillId="2" borderId="2" xfId="0" applyNumberFormat="1" applyFont="1" applyFill="1" applyBorder="1" applyAlignment="1">
      <alignment wrapText="1"/>
    </xf>
    <xf numFmtId="0" fontId="6" fillId="2" borderId="2" xfId="0" applyNumberFormat="1" applyFont="1" applyFill="1" applyBorder="1" applyAlignment="1">
      <alignment wrapText="1"/>
    </xf>
    <xf numFmtId="49" fontId="6" fillId="2" borderId="2" xfId="0" applyNumberFormat="1" applyFont="1" applyFill="1" applyBorder="1" applyAlignment="1">
      <alignment horizontal="center" wrapText="1"/>
    </xf>
    <xf numFmtId="165" fontId="6" fillId="2" borderId="2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vertical="justify" wrapText="1"/>
    </xf>
    <xf numFmtId="0" fontId="5" fillId="2" borderId="1" xfId="0" applyFont="1" applyFill="1" applyBorder="1" applyAlignment="1">
      <alignment wrapText="1"/>
    </xf>
    <xf numFmtId="49" fontId="5" fillId="2" borderId="4" xfId="0" applyNumberFormat="1" applyFont="1" applyFill="1" applyBorder="1" applyAlignment="1">
      <alignment horizontal="center" wrapText="1"/>
    </xf>
    <xf numFmtId="166" fontId="5" fillId="2" borderId="1" xfId="2" applyNumberFormat="1" applyFont="1" applyFill="1" applyBorder="1"/>
    <xf numFmtId="0" fontId="6" fillId="2" borderId="3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wrapText="1"/>
    </xf>
    <xf numFmtId="167" fontId="0" fillId="0" borderId="0" xfId="0" applyNumberFormat="1"/>
    <xf numFmtId="165" fontId="5" fillId="0" borderId="1" xfId="0" applyNumberFormat="1" applyFont="1" applyFill="1" applyBorder="1" applyAlignment="1">
      <alignment wrapText="1"/>
    </xf>
    <xf numFmtId="49" fontId="6" fillId="2" borderId="4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5" fontId="6" fillId="0" borderId="1" xfId="0" applyNumberFormat="1" applyFont="1" applyFill="1" applyBorder="1" applyAlignment="1">
      <alignment wrapText="1"/>
    </xf>
    <xf numFmtId="164" fontId="0" fillId="0" borderId="0" xfId="0" applyNumberForma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1" applyFont="1" applyAlignment="1">
      <alignment horizontal="right"/>
    </xf>
    <xf numFmtId="49" fontId="8" fillId="0" borderId="0" xfId="0" applyNumberFormat="1" applyFont="1" applyAlignment="1">
      <alignment horizontal="right" vertical="top"/>
    </xf>
    <xf numFmtId="49" fontId="8" fillId="0" borderId="0" xfId="0" applyNumberFormat="1" applyFont="1" applyAlignment="1">
      <alignment horizontal="right" vertical="top" wrapText="1"/>
    </xf>
    <xf numFmtId="165" fontId="5" fillId="0" borderId="2" xfId="0" applyNumberFormat="1" applyFont="1" applyFill="1" applyBorder="1" applyAlignment="1">
      <alignment wrapText="1"/>
    </xf>
    <xf numFmtId="164" fontId="9" fillId="0" borderId="0" xfId="2" applyFont="1"/>
  </cellXfs>
  <cellStyles count="3">
    <cellStyle name="Обычный" xfId="0" builtinId="0"/>
    <cellStyle name="Обычный_Лист1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5"/>
  <sheetViews>
    <sheetView tabSelected="1" zoomScale="66" zoomScaleNormal="66" zoomScaleSheetLayoutView="87" workbookViewId="0">
      <selection activeCell="D74" sqref="D74"/>
    </sheetView>
  </sheetViews>
  <sheetFormatPr defaultRowHeight="12.75"/>
  <cols>
    <col min="1" max="1" width="7.42578125" style="4" customWidth="1"/>
    <col min="2" max="2" width="48.140625" style="2" customWidth="1"/>
    <col min="3" max="3" width="10.5703125" style="1" customWidth="1"/>
    <col min="4" max="4" width="16.42578125" customWidth="1"/>
    <col min="5" max="5" width="15.5703125" customWidth="1"/>
    <col min="6" max="6" width="13.7109375" customWidth="1"/>
    <col min="7" max="7" width="8.5703125" customWidth="1"/>
    <col min="9" max="9" width="14.5703125" customWidth="1"/>
  </cols>
  <sheetData>
    <row r="1" spans="1:7" ht="15.75">
      <c r="A1" s="59" t="s">
        <v>162</v>
      </c>
      <c r="B1" s="59"/>
      <c r="C1" s="59"/>
      <c r="D1" s="59"/>
      <c r="E1" s="59"/>
      <c r="F1" s="59"/>
    </row>
    <row r="2" spans="1:7" ht="21" customHeight="1">
      <c r="A2" s="63" t="s">
        <v>147</v>
      </c>
      <c r="B2" s="62"/>
      <c r="C2" s="62"/>
      <c r="D2" s="62"/>
      <c r="E2" s="62"/>
      <c r="F2" s="62"/>
    </row>
    <row r="3" spans="1:7" ht="15">
      <c r="A3" s="62" t="s">
        <v>163</v>
      </c>
      <c r="B3" s="62"/>
      <c r="C3" s="62"/>
      <c r="D3" s="62"/>
      <c r="E3" s="62"/>
      <c r="F3" s="62"/>
    </row>
    <row r="4" spans="1:7" ht="15">
      <c r="A4" s="62" t="s">
        <v>148</v>
      </c>
      <c r="B4" s="62"/>
      <c r="C4" s="62"/>
      <c r="D4" s="62"/>
      <c r="E4" s="62"/>
      <c r="F4" s="62"/>
    </row>
    <row r="5" spans="1:7" ht="15">
      <c r="A5" s="62" t="s">
        <v>149</v>
      </c>
      <c r="B5" s="62"/>
      <c r="C5" s="62"/>
      <c r="D5" s="62"/>
      <c r="E5" s="62"/>
      <c r="F5" s="62"/>
    </row>
    <row r="6" spans="1:7" ht="15">
      <c r="A6" s="62" t="s">
        <v>150</v>
      </c>
      <c r="B6" s="62"/>
      <c r="C6" s="62"/>
      <c r="D6" s="62"/>
      <c r="E6" s="62"/>
      <c r="F6" s="62"/>
    </row>
    <row r="7" spans="1:7" s="3" customFormat="1" ht="15.75">
      <c r="A7" s="59" t="s">
        <v>129</v>
      </c>
      <c r="B7" s="59"/>
      <c r="C7" s="59"/>
      <c r="D7" s="59"/>
      <c r="E7" s="59"/>
      <c r="F7" s="59"/>
      <c r="G7" s="8"/>
    </row>
    <row r="8" spans="1:7" s="3" customFormat="1" ht="15.75">
      <c r="A8" s="60" t="s">
        <v>99</v>
      </c>
      <c r="B8" s="60"/>
      <c r="C8" s="60"/>
      <c r="D8" s="60"/>
      <c r="E8" s="60"/>
      <c r="F8" s="60"/>
    </row>
    <row r="9" spans="1:7" s="3" customFormat="1" ht="15.75">
      <c r="A9" s="61" t="s">
        <v>146</v>
      </c>
      <c r="B9" s="61"/>
      <c r="C9" s="61"/>
      <c r="D9" s="61"/>
      <c r="E9" s="61"/>
      <c r="F9" s="61"/>
      <c r="G9" s="13"/>
    </row>
    <row r="10" spans="1:7" s="3" customFormat="1" ht="15.75">
      <c r="A10" s="60" t="s">
        <v>136</v>
      </c>
      <c r="B10" s="60"/>
      <c r="C10" s="60"/>
      <c r="D10" s="60"/>
      <c r="E10" s="60"/>
      <c r="F10" s="60"/>
    </row>
    <row r="11" spans="1:7" s="3" customFormat="1" ht="15.75">
      <c r="A11" s="60" t="s">
        <v>137</v>
      </c>
      <c r="B11" s="60"/>
      <c r="C11" s="60"/>
      <c r="D11" s="60"/>
      <c r="E11" s="60"/>
      <c r="F11" s="60"/>
    </row>
    <row r="12" spans="1:7" s="3" customFormat="1" ht="54" customHeight="1">
      <c r="A12" s="58" t="s">
        <v>138</v>
      </c>
      <c r="B12" s="58"/>
      <c r="C12" s="58"/>
      <c r="D12" s="58"/>
      <c r="E12" s="58"/>
      <c r="F12" s="58"/>
      <c r="G12" s="7"/>
    </row>
    <row r="13" spans="1:7" s="3" customFormat="1" ht="15.75">
      <c r="A13" s="11"/>
      <c r="B13" s="10"/>
      <c r="C13" s="10"/>
      <c r="D13" s="10"/>
      <c r="E13" s="7"/>
      <c r="F13" s="7"/>
      <c r="G13" s="7"/>
    </row>
    <row r="14" spans="1:7" s="3" customFormat="1" ht="15.75">
      <c r="A14" s="9"/>
      <c r="B14" s="7"/>
      <c r="C14" s="7"/>
      <c r="D14" s="12"/>
      <c r="E14" s="7"/>
      <c r="F14" s="12" t="s">
        <v>20</v>
      </c>
      <c r="G14" s="7"/>
    </row>
    <row r="15" spans="1:7" ht="54" customHeight="1">
      <c r="A15" s="23" t="s">
        <v>21</v>
      </c>
      <c r="B15" s="23" t="s">
        <v>22</v>
      </c>
      <c r="C15" s="24" t="s">
        <v>23</v>
      </c>
      <c r="D15" s="25" t="s">
        <v>126</v>
      </c>
      <c r="E15" s="25" t="s">
        <v>128</v>
      </c>
      <c r="F15" s="25" t="s">
        <v>139</v>
      </c>
      <c r="G15" s="14"/>
    </row>
    <row r="16" spans="1:7" ht="15">
      <c r="A16" s="26"/>
      <c r="B16" s="27" t="s">
        <v>24</v>
      </c>
      <c r="C16" s="27" t="s">
        <v>25</v>
      </c>
      <c r="D16" s="27" t="s">
        <v>26</v>
      </c>
      <c r="E16" s="28"/>
      <c r="F16" s="28"/>
      <c r="G16" s="14"/>
    </row>
    <row r="17" spans="1:9" ht="15.75">
      <c r="A17" s="26" t="s">
        <v>24</v>
      </c>
      <c r="B17" s="29" t="s">
        <v>30</v>
      </c>
      <c r="C17" s="30" t="s">
        <v>31</v>
      </c>
      <c r="D17" s="31">
        <f>SUM(D18++D19+D20+D22+D23)+D24+D21</f>
        <v>101305.1</v>
      </c>
      <c r="E17" s="31">
        <f>SUM(E18++E19+E20+E22+E23)+E24+E21</f>
        <v>84700.900000000009</v>
      </c>
      <c r="F17" s="31">
        <f>SUM(F18:F24)</f>
        <v>84700.700000000012</v>
      </c>
      <c r="G17" s="14"/>
    </row>
    <row r="18" spans="1:9" ht="45">
      <c r="A18" s="32" t="s">
        <v>25</v>
      </c>
      <c r="B18" s="33" t="s">
        <v>32</v>
      </c>
      <c r="C18" s="32" t="s">
        <v>33</v>
      </c>
      <c r="D18" s="52">
        <v>2758.3</v>
      </c>
      <c r="E18" s="22">
        <f>2483.9</f>
        <v>2483.9</v>
      </c>
      <c r="F18" s="22">
        <f>2483.9</f>
        <v>2483.9</v>
      </c>
      <c r="G18" s="14"/>
    </row>
    <row r="19" spans="1:9" ht="75">
      <c r="A19" s="32" t="s">
        <v>26</v>
      </c>
      <c r="B19" s="33" t="s">
        <v>34</v>
      </c>
      <c r="C19" s="32" t="s">
        <v>36</v>
      </c>
      <c r="D19" s="52">
        <v>4728.8999999999996</v>
      </c>
      <c r="E19" s="22">
        <f>4625.8</f>
        <v>4625.8</v>
      </c>
      <c r="F19" s="22">
        <f>4625.8</f>
        <v>4625.8</v>
      </c>
      <c r="G19" s="14"/>
    </row>
    <row r="20" spans="1:9" ht="81" customHeight="1">
      <c r="A20" s="32" t="s">
        <v>27</v>
      </c>
      <c r="B20" s="33" t="s">
        <v>4</v>
      </c>
      <c r="C20" s="32" t="s">
        <v>5</v>
      </c>
      <c r="D20" s="52">
        <f>52672.7-200</f>
        <v>52472.7</v>
      </c>
      <c r="E20" s="22">
        <f>50330.6</f>
        <v>50330.6</v>
      </c>
      <c r="F20" s="22">
        <f>50330.6</f>
        <v>50330.6</v>
      </c>
      <c r="G20" s="14"/>
      <c r="I20" s="15"/>
    </row>
    <row r="21" spans="1:9" ht="21" customHeight="1">
      <c r="A21" s="32" t="s">
        <v>94</v>
      </c>
      <c r="B21" s="33" t="s">
        <v>123</v>
      </c>
      <c r="C21" s="32" t="s">
        <v>124</v>
      </c>
      <c r="D21" s="52">
        <f>1.1+2.5</f>
        <v>3.6</v>
      </c>
      <c r="E21" s="22">
        <f>1.2</f>
        <v>1.2</v>
      </c>
      <c r="F21" s="22">
        <f>1</f>
        <v>1</v>
      </c>
      <c r="G21" s="14"/>
    </row>
    <row r="22" spans="1:9" ht="47.45" customHeight="1">
      <c r="A22" s="32" t="s">
        <v>28</v>
      </c>
      <c r="B22" s="33" t="s">
        <v>45</v>
      </c>
      <c r="C22" s="32" t="s">
        <v>47</v>
      </c>
      <c r="D22" s="52">
        <f>3276.4+12480.2</f>
        <v>15756.6</v>
      </c>
      <c r="E22" s="22">
        <f>3220.4+12158.4</f>
        <v>15378.8</v>
      </c>
      <c r="F22" s="22">
        <f>3220.4+12158.4</f>
        <v>15378.8</v>
      </c>
      <c r="G22" s="14"/>
    </row>
    <row r="23" spans="1:9" ht="15">
      <c r="A23" s="32" t="s">
        <v>29</v>
      </c>
      <c r="B23" s="33" t="s">
        <v>59</v>
      </c>
      <c r="C23" s="32" t="s">
        <v>82</v>
      </c>
      <c r="D23" s="52">
        <f>13022.9</f>
        <v>13022.9</v>
      </c>
      <c r="E23" s="22">
        <v>0</v>
      </c>
      <c r="F23" s="22">
        <v>0</v>
      </c>
      <c r="G23" s="14"/>
    </row>
    <row r="24" spans="1:9" ht="15">
      <c r="A24" s="32" t="s">
        <v>98</v>
      </c>
      <c r="B24" s="33" t="s">
        <v>100</v>
      </c>
      <c r="C24" s="32" t="s">
        <v>101</v>
      </c>
      <c r="D24" s="52">
        <f>1300+675.6+5521.5+5065</f>
        <v>12562.1</v>
      </c>
      <c r="E24" s="22">
        <f>1523.4+5000+5357.2</f>
        <v>11880.599999999999</v>
      </c>
      <c r="F24" s="22">
        <f>1523.4+5000+5357.2</f>
        <v>11880.599999999999</v>
      </c>
      <c r="G24" s="14"/>
    </row>
    <row r="25" spans="1:9" ht="15.75">
      <c r="A25" s="32" t="s">
        <v>35</v>
      </c>
      <c r="B25" s="34" t="s">
        <v>102</v>
      </c>
      <c r="C25" s="35" t="s">
        <v>103</v>
      </c>
      <c r="D25" s="36">
        <f>D26</f>
        <v>4585.3999999999996</v>
      </c>
      <c r="E25" s="36">
        <f>E26</f>
        <v>4797.5</v>
      </c>
      <c r="F25" s="36">
        <f>F26</f>
        <v>4979</v>
      </c>
      <c r="G25" s="14"/>
    </row>
    <row r="26" spans="1:9" ht="30">
      <c r="A26" s="32" t="s">
        <v>90</v>
      </c>
      <c r="B26" s="33" t="s">
        <v>104</v>
      </c>
      <c r="C26" s="32" t="s">
        <v>105</v>
      </c>
      <c r="D26" s="22">
        <f>4585.4</f>
        <v>4585.3999999999996</v>
      </c>
      <c r="E26" s="22">
        <f>4797.5</f>
        <v>4797.5</v>
      </c>
      <c r="F26" s="22">
        <f>4979</f>
        <v>4979</v>
      </c>
      <c r="G26" s="14"/>
    </row>
    <row r="27" spans="1:9" ht="31.5">
      <c r="A27" s="32" t="s">
        <v>91</v>
      </c>
      <c r="B27" s="37" t="s">
        <v>92</v>
      </c>
      <c r="C27" s="38" t="s">
        <v>93</v>
      </c>
      <c r="D27" s="36">
        <f>D28+D29</f>
        <v>5895.7999999999993</v>
      </c>
      <c r="E27" s="36">
        <f>E28+E29</f>
        <v>5023.2999999999993</v>
      </c>
      <c r="F27" s="36">
        <f>F28+F29</f>
        <v>5076.3999999999996</v>
      </c>
      <c r="G27" s="14"/>
    </row>
    <row r="28" spans="1:9" ht="60">
      <c r="A28" s="32" t="s">
        <v>115</v>
      </c>
      <c r="B28" s="39" t="s">
        <v>127</v>
      </c>
      <c r="C28" s="40" t="s">
        <v>125</v>
      </c>
      <c r="D28" s="64">
        <f>1080.4+4785.4</f>
        <v>5865.7999999999993</v>
      </c>
      <c r="E28" s="41">
        <f>694.4+4298.9</f>
        <v>4993.2999999999993</v>
      </c>
      <c r="F28" s="41">
        <f>747.5+4298.9</f>
        <v>5046.3999999999996</v>
      </c>
      <c r="G28" s="14"/>
    </row>
    <row r="29" spans="1:9" ht="45">
      <c r="A29" s="32" t="s">
        <v>96</v>
      </c>
      <c r="B29" s="39" t="s">
        <v>140</v>
      </c>
      <c r="C29" s="40" t="s">
        <v>141</v>
      </c>
      <c r="D29" s="64">
        <f>30</f>
        <v>30</v>
      </c>
      <c r="E29" s="41">
        <f>30</f>
        <v>30</v>
      </c>
      <c r="F29" s="41">
        <f>30</f>
        <v>30</v>
      </c>
      <c r="G29" s="14"/>
    </row>
    <row r="30" spans="1:9" ht="15.75">
      <c r="A30" s="32" t="s">
        <v>122</v>
      </c>
      <c r="B30" s="42" t="s">
        <v>18</v>
      </c>
      <c r="C30" s="43" t="s">
        <v>19</v>
      </c>
      <c r="D30" s="44">
        <f>SUM(D31:D33)</f>
        <v>208117.3</v>
      </c>
      <c r="E30" s="44">
        <f>SUM(E31:E33)</f>
        <v>57010.299999999996</v>
      </c>
      <c r="F30" s="44">
        <f>F31+F32+F33</f>
        <v>57233.9</v>
      </c>
      <c r="G30" s="14"/>
    </row>
    <row r="31" spans="1:9" ht="15">
      <c r="A31" s="32" t="s">
        <v>37</v>
      </c>
      <c r="B31" s="33" t="s">
        <v>12</v>
      </c>
      <c r="C31" s="32" t="s">
        <v>13</v>
      </c>
      <c r="D31" s="52">
        <v>22722.400000000001</v>
      </c>
      <c r="E31" s="22">
        <f>21258.7</f>
        <v>21258.7</v>
      </c>
      <c r="F31" s="22">
        <f>21258.7</f>
        <v>21258.7</v>
      </c>
      <c r="G31" s="14"/>
    </row>
    <row r="32" spans="1:9" ht="15">
      <c r="A32" s="32" t="s">
        <v>38</v>
      </c>
      <c r="B32" s="33" t="s">
        <v>106</v>
      </c>
      <c r="C32" s="32" t="s">
        <v>107</v>
      </c>
      <c r="D32" s="52">
        <f>177157.1</f>
        <v>177157.1</v>
      </c>
      <c r="E32" s="22">
        <f>33156.5</f>
        <v>33156.5</v>
      </c>
      <c r="F32" s="22">
        <f>33380.1</f>
        <v>33380.1</v>
      </c>
      <c r="G32" s="14"/>
    </row>
    <row r="33" spans="1:7" ht="30">
      <c r="A33" s="32" t="s">
        <v>39</v>
      </c>
      <c r="B33" s="45" t="s">
        <v>14</v>
      </c>
      <c r="C33" s="32" t="s">
        <v>15</v>
      </c>
      <c r="D33" s="52">
        <f>6956.1+1281.7</f>
        <v>8237.8000000000011</v>
      </c>
      <c r="E33" s="22">
        <f>1610.5+984.6</f>
        <v>2595.1</v>
      </c>
      <c r="F33" s="22">
        <f>1610.5+984.6</f>
        <v>2595.1</v>
      </c>
      <c r="G33" s="14"/>
    </row>
    <row r="34" spans="1:7" ht="21" customHeight="1">
      <c r="A34" s="32" t="s">
        <v>40</v>
      </c>
      <c r="B34" s="34" t="s">
        <v>63</v>
      </c>
      <c r="C34" s="35" t="s">
        <v>64</v>
      </c>
      <c r="D34" s="36">
        <f>D36+D37+D38+D35-0.1</f>
        <v>868471.4</v>
      </c>
      <c r="E34" s="36">
        <f>SUM(E35:E38)</f>
        <v>93043.6</v>
      </c>
      <c r="F34" s="36">
        <f>SUM(F35:F38)</f>
        <v>74936.599999999991</v>
      </c>
      <c r="G34" s="14"/>
    </row>
    <row r="35" spans="1:7" ht="21" customHeight="1">
      <c r="A35" s="32" t="s">
        <v>114</v>
      </c>
      <c r="B35" s="33" t="s">
        <v>118</v>
      </c>
      <c r="C35" s="32" t="s">
        <v>119</v>
      </c>
      <c r="D35" s="54">
        <f>2922.2+497395.4</f>
        <v>500317.60000000003</v>
      </c>
      <c r="E35" s="22">
        <f>1249.4</f>
        <v>1249.4000000000001</v>
      </c>
      <c r="F35" s="22">
        <f>1284.3</f>
        <v>1284.3</v>
      </c>
      <c r="G35" s="14"/>
    </row>
    <row r="36" spans="1:7" ht="15">
      <c r="A36" s="32" t="s">
        <v>41</v>
      </c>
      <c r="B36" s="33" t="s">
        <v>65</v>
      </c>
      <c r="C36" s="32" t="s">
        <v>66</v>
      </c>
      <c r="D36" s="52">
        <f>36636.3+5690.9-35</f>
        <v>42292.200000000004</v>
      </c>
      <c r="E36" s="22">
        <f>15224.2</f>
        <v>15224.2</v>
      </c>
      <c r="F36" s="22">
        <f>15224.2</f>
        <v>15224.2</v>
      </c>
      <c r="G36" s="14"/>
    </row>
    <row r="37" spans="1:7" ht="15">
      <c r="A37" s="32" t="s">
        <v>42</v>
      </c>
      <c r="B37" s="33" t="s">
        <v>79</v>
      </c>
      <c r="C37" s="32" t="s">
        <v>80</v>
      </c>
      <c r="D37" s="52">
        <f>280323.3+92+20202</f>
        <v>300617.3</v>
      </c>
      <c r="E37" s="22">
        <f>51253.6+2114.8</f>
        <v>53368.4</v>
      </c>
      <c r="F37" s="22">
        <f>51508.2-16281.4-0.3</f>
        <v>35226.499999999993</v>
      </c>
      <c r="G37" s="14"/>
    </row>
    <row r="38" spans="1:7" ht="30">
      <c r="A38" s="32" t="s">
        <v>43</v>
      </c>
      <c r="B38" s="33" t="s">
        <v>67</v>
      </c>
      <c r="C38" s="32" t="s">
        <v>68</v>
      </c>
      <c r="D38" s="52">
        <f>25430.3-185.9</f>
        <v>25244.399999999998</v>
      </c>
      <c r="E38" s="22">
        <f>23201.6</f>
        <v>23201.599999999999</v>
      </c>
      <c r="F38" s="22">
        <f>23201.6</f>
        <v>23201.599999999999</v>
      </c>
      <c r="G38" s="14"/>
    </row>
    <row r="39" spans="1:7" ht="15.75">
      <c r="A39" s="32" t="s">
        <v>44</v>
      </c>
      <c r="B39" s="34" t="s">
        <v>151</v>
      </c>
      <c r="C39" s="35" t="s">
        <v>156</v>
      </c>
      <c r="D39" s="56">
        <f>D40</f>
        <v>2524</v>
      </c>
      <c r="E39" s="36">
        <f t="shared" ref="E39:F39" si="0">E40</f>
        <v>0</v>
      </c>
      <c r="F39" s="36">
        <f t="shared" si="0"/>
        <v>0</v>
      </c>
      <c r="G39" s="14"/>
    </row>
    <row r="40" spans="1:7" ht="30">
      <c r="A40" s="32" t="s">
        <v>46</v>
      </c>
      <c r="B40" s="33" t="s">
        <v>152</v>
      </c>
      <c r="C40" s="32" t="s">
        <v>153</v>
      </c>
      <c r="D40" s="52">
        <v>2524</v>
      </c>
      <c r="E40" s="22">
        <v>0</v>
      </c>
      <c r="F40" s="22">
        <v>0</v>
      </c>
      <c r="G40" s="14"/>
    </row>
    <row r="41" spans="1:7" ht="15.75">
      <c r="A41" s="32" t="s">
        <v>48</v>
      </c>
      <c r="B41" s="34" t="s">
        <v>69</v>
      </c>
      <c r="C41" s="35" t="s">
        <v>70</v>
      </c>
      <c r="D41" s="36">
        <f>D42+D43+D45+D46+D44</f>
        <v>866991.89999999991</v>
      </c>
      <c r="E41" s="36">
        <f>E42+E43+E45+E46+E44</f>
        <v>773026.8</v>
      </c>
      <c r="F41" s="36">
        <f>F42+F43+F45+F46+F44</f>
        <v>773026.8</v>
      </c>
      <c r="G41" s="14"/>
    </row>
    <row r="42" spans="1:7" ht="15">
      <c r="A42" s="32" t="s">
        <v>49</v>
      </c>
      <c r="B42" s="33" t="s">
        <v>71</v>
      </c>
      <c r="C42" s="32" t="s">
        <v>72</v>
      </c>
      <c r="D42" s="52">
        <f>321366.8</f>
        <v>321366.8</v>
      </c>
      <c r="E42" s="22">
        <f>297145</f>
        <v>297145</v>
      </c>
      <c r="F42" s="22">
        <f>297145</f>
        <v>297145</v>
      </c>
      <c r="G42" s="14"/>
    </row>
    <row r="43" spans="1:7" ht="15">
      <c r="A43" s="32" t="s">
        <v>50</v>
      </c>
      <c r="B43" s="33" t="s">
        <v>73</v>
      </c>
      <c r="C43" s="32" t="s">
        <v>74</v>
      </c>
      <c r="D43" s="52">
        <f>328816.4</f>
        <v>328816.40000000002</v>
      </c>
      <c r="E43" s="22">
        <f>286065</f>
        <v>286065</v>
      </c>
      <c r="F43" s="22">
        <f>286065</f>
        <v>286065</v>
      </c>
      <c r="G43" s="14"/>
    </row>
    <row r="44" spans="1:7" ht="15">
      <c r="A44" s="32" t="s">
        <v>51</v>
      </c>
      <c r="B44" s="33" t="s">
        <v>120</v>
      </c>
      <c r="C44" s="32" t="s">
        <v>121</v>
      </c>
      <c r="D44" s="52">
        <f>34172.6+89659.2</f>
        <v>123831.79999999999</v>
      </c>
      <c r="E44" s="22">
        <f>74778.1+31377.9</f>
        <v>106156</v>
      </c>
      <c r="F44" s="22">
        <f>74778.1+31377.9</f>
        <v>106156</v>
      </c>
      <c r="G44" s="14"/>
    </row>
    <row r="45" spans="1:7" ht="30">
      <c r="A45" s="32" t="s">
        <v>52</v>
      </c>
      <c r="B45" s="33" t="s">
        <v>75</v>
      </c>
      <c r="C45" s="32" t="s">
        <v>76</v>
      </c>
      <c r="D45" s="52">
        <f>19655.8+60</f>
        <v>19715.8</v>
      </c>
      <c r="E45" s="22">
        <f>14687.9+9617.1-9617.1</f>
        <v>14687.9</v>
      </c>
      <c r="F45" s="22">
        <f>14687.9+9617.1-9617.1</f>
        <v>14687.9</v>
      </c>
      <c r="G45" s="14"/>
    </row>
    <row r="46" spans="1:7" ht="15">
      <c r="A46" s="32" t="s">
        <v>53</v>
      </c>
      <c r="B46" s="33" t="s">
        <v>77</v>
      </c>
      <c r="C46" s="32" t="s">
        <v>78</v>
      </c>
      <c r="D46" s="52">
        <f>45412.1+27849</f>
        <v>73261.100000000006</v>
      </c>
      <c r="E46" s="22">
        <f>32765.5+26590.3+9617.1</f>
        <v>68972.900000000009</v>
      </c>
      <c r="F46" s="22">
        <f>32765.5+26590.3+9617.1</f>
        <v>68972.900000000009</v>
      </c>
      <c r="G46" s="14"/>
    </row>
    <row r="47" spans="1:7" ht="15.75">
      <c r="A47" s="32" t="s">
        <v>81</v>
      </c>
      <c r="B47" s="34" t="s">
        <v>83</v>
      </c>
      <c r="C47" s="35" t="s">
        <v>0</v>
      </c>
      <c r="D47" s="36">
        <f>SUM(D48:D49)</f>
        <v>149877.6</v>
      </c>
      <c r="E47" s="36">
        <f>SUM(E48:E49)</f>
        <v>126228.9</v>
      </c>
      <c r="F47" s="36">
        <f>F48+F49</f>
        <v>126229</v>
      </c>
      <c r="G47" s="14"/>
    </row>
    <row r="48" spans="1:7" ht="15">
      <c r="A48" s="32" t="s">
        <v>116</v>
      </c>
      <c r="B48" s="33" t="s">
        <v>1</v>
      </c>
      <c r="C48" s="32" t="s">
        <v>2</v>
      </c>
      <c r="D48" s="52">
        <v>108244.3</v>
      </c>
      <c r="E48" s="22">
        <f>87855.3</f>
        <v>87855.3</v>
      </c>
      <c r="F48" s="22">
        <f>87855.4</f>
        <v>87855.4</v>
      </c>
      <c r="G48" s="14"/>
    </row>
    <row r="49" spans="1:7" ht="30">
      <c r="A49" s="32" t="s">
        <v>117</v>
      </c>
      <c r="B49" s="33" t="s">
        <v>84</v>
      </c>
      <c r="C49" s="32" t="s">
        <v>95</v>
      </c>
      <c r="D49" s="52">
        <v>41633.300000000003</v>
      </c>
      <c r="E49" s="22">
        <f>38373.6</f>
        <v>38373.599999999999</v>
      </c>
      <c r="F49" s="22">
        <f>38373.6</f>
        <v>38373.599999999999</v>
      </c>
      <c r="G49" s="14"/>
    </row>
    <row r="50" spans="1:7" ht="15.75">
      <c r="A50" s="32" t="s">
        <v>97</v>
      </c>
      <c r="B50" s="17" t="s">
        <v>132</v>
      </c>
      <c r="C50" s="35" t="s">
        <v>134</v>
      </c>
      <c r="D50" s="36">
        <f>D51</f>
        <v>408.2</v>
      </c>
      <c r="E50" s="36">
        <f>E51</f>
        <v>0</v>
      </c>
      <c r="F50" s="36">
        <f>F51</f>
        <v>0</v>
      </c>
      <c r="G50" s="14"/>
    </row>
    <row r="51" spans="1:7" ht="30">
      <c r="A51" s="32" t="s">
        <v>54</v>
      </c>
      <c r="B51" s="16" t="s">
        <v>133</v>
      </c>
      <c r="C51" s="32" t="s">
        <v>135</v>
      </c>
      <c r="D51" s="22">
        <f>408.2</f>
        <v>408.2</v>
      </c>
      <c r="E51" s="22"/>
      <c r="F51" s="22"/>
      <c r="G51" s="14"/>
    </row>
    <row r="52" spans="1:7" ht="15.75">
      <c r="A52" s="32" t="s">
        <v>55</v>
      </c>
      <c r="B52" s="34" t="s">
        <v>6</v>
      </c>
      <c r="C52" s="35" t="s">
        <v>7</v>
      </c>
      <c r="D52" s="36">
        <f>D53+D54+D55+D56</f>
        <v>69523.900000000009</v>
      </c>
      <c r="E52" s="36">
        <f>E53+E54+E55+E56</f>
        <v>64894.200000000012</v>
      </c>
      <c r="F52" s="36">
        <f>SUM(F53:F56)</f>
        <v>66833</v>
      </c>
      <c r="G52" s="14"/>
    </row>
    <row r="53" spans="1:7" ht="15">
      <c r="A53" s="32" t="s">
        <v>56</v>
      </c>
      <c r="B53" s="33" t="s">
        <v>8</v>
      </c>
      <c r="C53" s="32" t="s">
        <v>9</v>
      </c>
      <c r="D53" s="52">
        <f>2136.8</f>
        <v>2136.8000000000002</v>
      </c>
      <c r="E53" s="22">
        <f>1810</f>
        <v>1810</v>
      </c>
      <c r="F53" s="22">
        <f>1810</f>
        <v>1810</v>
      </c>
      <c r="G53" s="14"/>
    </row>
    <row r="54" spans="1:7" ht="15">
      <c r="A54" s="32" t="s">
        <v>57</v>
      </c>
      <c r="B54" s="33" t="s">
        <v>10</v>
      </c>
      <c r="C54" s="32" t="s">
        <v>11</v>
      </c>
      <c r="D54" s="52">
        <f>5726.1+31713.4</f>
        <v>37439.5</v>
      </c>
      <c r="E54" s="22">
        <f>7382.3+31985.9</f>
        <v>39368.200000000004</v>
      </c>
      <c r="F54" s="22">
        <f>9039.6+32267.4</f>
        <v>41307</v>
      </c>
      <c r="G54" s="14"/>
    </row>
    <row r="55" spans="1:7" ht="15">
      <c r="A55" s="32" t="s">
        <v>58</v>
      </c>
      <c r="B55" s="33" t="s">
        <v>62</v>
      </c>
      <c r="C55" s="32" t="s">
        <v>60</v>
      </c>
      <c r="D55" s="52">
        <f>25672.8+2880.5</f>
        <v>28553.3</v>
      </c>
      <c r="E55" s="22">
        <f>19573.7+2880.5</f>
        <v>22454.2</v>
      </c>
      <c r="F55" s="22">
        <f>19573.7+2880.5</f>
        <v>22454.2</v>
      </c>
      <c r="G55" s="14"/>
    </row>
    <row r="56" spans="1:7" ht="30">
      <c r="A56" s="32" t="s">
        <v>110</v>
      </c>
      <c r="B56" s="33" t="s">
        <v>17</v>
      </c>
      <c r="C56" s="32" t="s">
        <v>61</v>
      </c>
      <c r="D56" s="52">
        <f>1394.3</f>
        <v>1394.3</v>
      </c>
      <c r="E56" s="22">
        <f>1261.8</f>
        <v>1261.8</v>
      </c>
      <c r="F56" s="22">
        <f>1261.8</f>
        <v>1261.8</v>
      </c>
      <c r="G56" s="14"/>
    </row>
    <row r="57" spans="1:7" ht="15.75">
      <c r="A57" s="32" t="s">
        <v>111</v>
      </c>
      <c r="B57" s="34" t="s">
        <v>3</v>
      </c>
      <c r="C57" s="35" t="s">
        <v>85</v>
      </c>
      <c r="D57" s="36">
        <f>SUM(D58:D61)</f>
        <v>104492.8</v>
      </c>
      <c r="E57" s="36">
        <f>SUM(E58:E61)</f>
        <v>34311.299999999996</v>
      </c>
      <c r="F57" s="36">
        <f>SUM(F58:F61)</f>
        <v>34311.299999999996</v>
      </c>
      <c r="G57" s="14"/>
    </row>
    <row r="58" spans="1:7" ht="15">
      <c r="A58" s="32" t="s">
        <v>130</v>
      </c>
      <c r="B58" s="33" t="s">
        <v>108</v>
      </c>
      <c r="C58" s="32" t="s">
        <v>109</v>
      </c>
      <c r="D58" s="52">
        <v>670.4</v>
      </c>
      <c r="E58" s="22">
        <f>607.7</f>
        <v>607.70000000000005</v>
      </c>
      <c r="F58" s="22">
        <f>607.7</f>
        <v>607.70000000000005</v>
      </c>
      <c r="G58" s="14"/>
    </row>
    <row r="59" spans="1:7" ht="15">
      <c r="A59" s="32" t="s">
        <v>131</v>
      </c>
      <c r="B59" s="33" t="s">
        <v>86</v>
      </c>
      <c r="C59" s="32" t="s">
        <v>87</v>
      </c>
      <c r="D59" s="52">
        <f>56970.4</f>
        <v>56970.400000000001</v>
      </c>
      <c r="E59" s="22">
        <f>800+4189.2</f>
        <v>4989.2</v>
      </c>
      <c r="F59" s="22">
        <f>800+4189.2</f>
        <v>4989.2</v>
      </c>
      <c r="G59" s="14"/>
    </row>
    <row r="60" spans="1:7" ht="15">
      <c r="A60" s="32" t="s">
        <v>144</v>
      </c>
      <c r="B60" s="33" t="s">
        <v>142</v>
      </c>
      <c r="C60" s="32" t="s">
        <v>143</v>
      </c>
      <c r="D60" s="52">
        <f>43524.8-215.3</f>
        <v>43309.5</v>
      </c>
      <c r="E60" s="22">
        <f>29473.1-4189.2</f>
        <v>25283.899999999998</v>
      </c>
      <c r="F60" s="22">
        <f>29473.1-4189.2</f>
        <v>25283.899999999998</v>
      </c>
      <c r="G60" s="14"/>
    </row>
    <row r="61" spans="1:7" ht="30">
      <c r="A61" s="32" t="s">
        <v>145</v>
      </c>
      <c r="B61" s="33" t="s">
        <v>88</v>
      </c>
      <c r="C61" s="32" t="s">
        <v>89</v>
      </c>
      <c r="D61" s="52">
        <f>3542.5</f>
        <v>3542.5</v>
      </c>
      <c r="E61" s="22">
        <f>3430.5</f>
        <v>3430.5</v>
      </c>
      <c r="F61" s="22">
        <f>3430.5</f>
        <v>3430.5</v>
      </c>
      <c r="G61" s="14"/>
    </row>
    <row r="62" spans="1:7" ht="45.75">
      <c r="A62" s="32" t="s">
        <v>154</v>
      </c>
      <c r="B62" s="55" t="s">
        <v>161</v>
      </c>
      <c r="C62" s="53" t="s">
        <v>159</v>
      </c>
      <c r="D62" s="56">
        <f>D63</f>
        <v>12.7</v>
      </c>
      <c r="E62" s="22"/>
      <c r="F62" s="22"/>
      <c r="G62" s="14"/>
    </row>
    <row r="63" spans="1:7" ht="45">
      <c r="A63" s="32" t="s">
        <v>155</v>
      </c>
      <c r="B63" s="55" t="s">
        <v>161</v>
      </c>
      <c r="C63" s="47" t="s">
        <v>160</v>
      </c>
      <c r="D63" s="52">
        <v>12.7</v>
      </c>
      <c r="E63" s="22"/>
      <c r="F63" s="22"/>
      <c r="G63" s="14"/>
    </row>
    <row r="64" spans="1:7" ht="15">
      <c r="A64" s="32" t="s">
        <v>157</v>
      </c>
      <c r="B64" s="46" t="s">
        <v>112</v>
      </c>
      <c r="C64" s="47" t="s">
        <v>113</v>
      </c>
      <c r="D64" s="22">
        <v>0</v>
      </c>
      <c r="E64" s="48">
        <f>57224.8-200-14.9-2114.85-30000</f>
        <v>24895.050000000003</v>
      </c>
      <c r="F64" s="22">
        <f>68887.2-700-15.2+16281.4+0.4-19100</f>
        <v>65353.799999999988</v>
      </c>
      <c r="G64" s="14"/>
    </row>
    <row r="65" spans="1:9" ht="18.75" customHeight="1">
      <c r="A65" s="32" t="s">
        <v>158</v>
      </c>
      <c r="B65" s="49" t="s">
        <v>16</v>
      </c>
      <c r="C65" s="50"/>
      <c r="D65" s="36">
        <f>D17+D25+D27+D30+D34+D39+D41+D47+D50+D52+D57+D64+D62</f>
        <v>2382206.1</v>
      </c>
      <c r="E65" s="36">
        <f>E64+E57+E52+E50+E47+E41+E39+E34+E30+E27+E25+E17+0.1</f>
        <v>1267931.9500000002</v>
      </c>
      <c r="F65" s="36">
        <f>F64+F57+F52+F50+F47+F41+F39+F34+F30+F27+F25+F17</f>
        <v>1292680.4999999998</v>
      </c>
      <c r="G65" s="14"/>
    </row>
    <row r="66" spans="1:9">
      <c r="A66" s="5"/>
      <c r="B66" s="6"/>
      <c r="C66" s="5"/>
      <c r="D66" s="18"/>
      <c r="E66" s="19"/>
      <c r="F66" s="19"/>
    </row>
    <row r="67" spans="1:9">
      <c r="D67" s="19"/>
      <c r="E67" s="20"/>
      <c r="F67" s="20"/>
    </row>
    <row r="68" spans="1:9">
      <c r="D68" s="20"/>
      <c r="E68" s="21"/>
      <c r="F68" s="21"/>
      <c r="I68" s="15"/>
    </row>
    <row r="69" spans="1:9">
      <c r="D69" s="51"/>
      <c r="E69" s="15"/>
      <c r="F69" s="15"/>
      <c r="I69" s="15"/>
    </row>
    <row r="70" spans="1:9" ht="14.25">
      <c r="D70" s="65"/>
      <c r="E70" s="15"/>
      <c r="F70" s="15"/>
      <c r="I70" s="15"/>
    </row>
    <row r="71" spans="1:9">
      <c r="D71" s="15"/>
      <c r="E71" s="15"/>
      <c r="F71" s="15"/>
    </row>
    <row r="72" spans="1:9">
      <c r="D72" s="57"/>
    </row>
    <row r="75" spans="1:9">
      <c r="D75" s="15"/>
    </row>
  </sheetData>
  <mergeCells count="12">
    <mergeCell ref="A6:F6"/>
    <mergeCell ref="A1:F1"/>
    <mergeCell ref="A2:F2"/>
    <mergeCell ref="A3:F3"/>
    <mergeCell ref="A4:F4"/>
    <mergeCell ref="A5:F5"/>
    <mergeCell ref="A12:F12"/>
    <mergeCell ref="A7:F7"/>
    <mergeCell ref="A8:F8"/>
    <mergeCell ref="A9:F9"/>
    <mergeCell ref="A10:F10"/>
    <mergeCell ref="A11:F11"/>
  </mergeCells>
  <phoneticPr fontId="3" type="noConversion"/>
  <pageMargins left="0.78740157480314965" right="0.39370078740157483" top="0.78740157480314965" bottom="0.78740157480314965" header="0.39370078740157483" footer="0.39370078740157483"/>
  <pageSetup paperSize="9" scale="80" fitToHeight="4" orientation="portrait" useFirstPageNumber="1" r:id="rId1"/>
  <headerFooter alignWithMargins="0">
    <oddFooter>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2023-2025</vt:lpstr>
      <vt:lpstr>'2023-2025'!Заголовки_для_печати</vt:lpstr>
    </vt:vector>
  </TitlesOfParts>
  <Company>ГФУ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ОАБП</dc:creator>
  <cp:lastModifiedBy>Ольга И. Степаненко</cp:lastModifiedBy>
  <cp:lastPrinted>2023-06-28T07:15:32Z</cp:lastPrinted>
  <dcterms:created xsi:type="dcterms:W3CDTF">2007-10-12T08:23:45Z</dcterms:created>
  <dcterms:modified xsi:type="dcterms:W3CDTF">2023-10-03T07:33:30Z</dcterms:modified>
</cp:coreProperties>
</file>