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AB144" i="1"/>
  <c r="AB136"/>
  <c r="Z863"/>
  <c r="AB452" l="1"/>
  <c r="X452" s="1"/>
  <c r="AB450"/>
  <c r="AB293"/>
  <c r="X293" s="1"/>
  <c r="AB416"/>
  <c r="X416" s="1"/>
  <c r="X450"/>
  <c r="AB419"/>
  <c r="X419" s="1"/>
  <c r="AB678"/>
  <c r="X678" s="1"/>
  <c r="AB643"/>
  <c r="AB260"/>
  <c r="X260" s="1"/>
  <c r="AB259"/>
  <c r="X259" s="1"/>
  <c r="AB191"/>
  <c r="X191" s="1"/>
  <c r="AB345"/>
  <c r="X345" s="1"/>
  <c r="AB76"/>
  <c r="X76" s="1"/>
  <c r="AB555"/>
  <c r="X555" s="1"/>
  <c r="AB138"/>
  <c r="X138" s="1"/>
  <c r="AB473"/>
  <c r="X136"/>
  <c r="AB645"/>
  <c r="X645" s="1"/>
  <c r="AB343"/>
  <c r="X343" s="1"/>
  <c r="AB336"/>
  <c r="AB651"/>
  <c r="X651" s="1"/>
  <c r="AB681"/>
  <c r="X681" s="1"/>
  <c r="AB650"/>
  <c r="AB294"/>
  <c r="AB301"/>
  <c r="AB291"/>
  <c r="AB258"/>
  <c r="AB262"/>
  <c r="AB195"/>
  <c r="X195" s="1"/>
  <c r="AB197"/>
  <c r="AB352"/>
  <c r="X352" s="1"/>
  <c r="AB391"/>
  <c r="AB354"/>
  <c r="X354" s="1"/>
  <c r="AB393"/>
  <c r="X393" s="1"/>
  <c r="AB319"/>
  <c r="X319" s="1"/>
  <c r="AB372"/>
  <c r="X372" s="1"/>
  <c r="AB371"/>
  <c r="X371" s="1"/>
  <c r="AB321"/>
  <c r="X321" s="1"/>
  <c r="Z669"/>
  <c r="X669" s="1"/>
  <c r="Z624"/>
  <c r="AB629"/>
  <c r="X629" s="1"/>
  <c r="AB632"/>
  <c r="Z626"/>
  <c r="AB586"/>
  <c r="X586" s="1"/>
  <c r="AB158"/>
  <c r="X158" s="1"/>
  <c r="AB657"/>
  <c r="AB646"/>
  <c r="Z649"/>
  <c r="AB679"/>
  <c r="X679" s="1"/>
  <c r="Z665"/>
  <c r="AB664"/>
  <c r="X664" s="1"/>
  <c r="AB663"/>
  <c r="Z623"/>
  <c r="X623" s="1"/>
  <c r="AB621"/>
  <c r="X621" s="1"/>
  <c r="AB620"/>
  <c r="X620" s="1"/>
  <c r="AB619"/>
  <c r="Z835"/>
  <c r="X835" s="1"/>
  <c r="AQ883"/>
  <c r="AM883" s="1"/>
  <c r="AL883"/>
  <c r="AH883" s="1"/>
  <c r="AM877"/>
  <c r="AH877"/>
  <c r="AM876"/>
  <c r="AH876"/>
  <c r="AM875"/>
  <c r="AH875"/>
  <c r="AO874"/>
  <c r="AM874" s="1"/>
  <c r="AJ874"/>
  <c r="AH874" s="1"/>
  <c r="AM873"/>
  <c r="AH873"/>
  <c r="AQ872"/>
  <c r="AP872"/>
  <c r="AN872"/>
  <c r="AL872"/>
  <c r="AK872"/>
  <c r="AI872"/>
  <c r="AM871"/>
  <c r="AH871"/>
  <c r="AM870"/>
  <c r="AH870"/>
  <c r="AM869"/>
  <c r="AH869"/>
  <c r="AM868"/>
  <c r="AH868"/>
  <c r="AM867"/>
  <c r="AH867"/>
  <c r="AM866"/>
  <c r="AH866"/>
  <c r="AM865"/>
  <c r="AH865"/>
  <c r="AM864"/>
  <c r="AH864"/>
  <c r="AM863"/>
  <c r="AH863"/>
  <c r="AQ862"/>
  <c r="AP862"/>
  <c r="AO862"/>
  <c r="AN862"/>
  <c r="AL862"/>
  <c r="AK862"/>
  <c r="AJ862"/>
  <c r="AI862"/>
  <c r="AM861"/>
  <c r="AH861"/>
  <c r="AM860"/>
  <c r="AH860"/>
  <c r="AO858"/>
  <c r="AM858" s="1"/>
  <c r="AJ858"/>
  <c r="AH858" s="1"/>
  <c r="AM857"/>
  <c r="AH857"/>
  <c r="AO855"/>
  <c r="AM855" s="1"/>
  <c r="AJ855"/>
  <c r="AH855" s="1"/>
  <c r="AM853"/>
  <c r="AH853"/>
  <c r="AM852"/>
  <c r="AH852"/>
  <c r="AM851"/>
  <c r="AH851"/>
  <c r="AM850"/>
  <c r="AH850"/>
  <c r="AM849"/>
  <c r="AH849"/>
  <c r="AM848"/>
  <c r="AH848"/>
  <c r="AM847"/>
  <c r="AH847"/>
  <c r="AM846"/>
  <c r="AH846"/>
  <c r="AQ845"/>
  <c r="AP845"/>
  <c r="AO845"/>
  <c r="AN845"/>
  <c r="AL845"/>
  <c r="AK845"/>
  <c r="AI845"/>
  <c r="AM835"/>
  <c r="AH835"/>
  <c r="AM834"/>
  <c r="AH834"/>
  <c r="AQ833"/>
  <c r="AP833"/>
  <c r="AO833"/>
  <c r="AN833"/>
  <c r="AL833"/>
  <c r="AK833"/>
  <c r="AJ833"/>
  <c r="AI833"/>
  <c r="AO832"/>
  <c r="AM832" s="1"/>
  <c r="AJ832"/>
  <c r="AH832" s="1"/>
  <c r="AM831"/>
  <c r="AH831"/>
  <c r="AQ830"/>
  <c r="AP830"/>
  <c r="AN830"/>
  <c r="AL830"/>
  <c r="AK830"/>
  <c r="AI830"/>
  <c r="AM828"/>
  <c r="AH828"/>
  <c r="AM827"/>
  <c r="AH827"/>
  <c r="AM826"/>
  <c r="AH826"/>
  <c r="AM825"/>
  <c r="AH825"/>
  <c r="AM824"/>
  <c r="AH824"/>
  <c r="AM823"/>
  <c r="AH823"/>
  <c r="AM822"/>
  <c r="AH822"/>
  <c r="AQ821"/>
  <c r="AP821"/>
  <c r="AO821"/>
  <c r="AN821"/>
  <c r="AL821"/>
  <c r="AK821"/>
  <c r="AJ821"/>
  <c r="AI821"/>
  <c r="AM820"/>
  <c r="AH820"/>
  <c r="AM819"/>
  <c r="AH819"/>
  <c r="AM818"/>
  <c r="AH818"/>
  <c r="AM817"/>
  <c r="AH817"/>
  <c r="AQ816"/>
  <c r="AP816"/>
  <c r="AO816"/>
  <c r="AN816"/>
  <c r="AL816"/>
  <c r="AK816"/>
  <c r="AJ816"/>
  <c r="AI816"/>
  <c r="AM815"/>
  <c r="AH815"/>
  <c r="AM814"/>
  <c r="AH814"/>
  <c r="AM813"/>
  <c r="AH813"/>
  <c r="AQ812"/>
  <c r="AP812"/>
  <c r="AO812"/>
  <c r="AN812"/>
  <c r="AL812"/>
  <c r="AK812"/>
  <c r="AJ812"/>
  <c r="AI812"/>
  <c r="AM811"/>
  <c r="AM810" s="1"/>
  <c r="AH811"/>
  <c r="AH810" s="1"/>
  <c r="AQ810"/>
  <c r="AP810"/>
  <c r="AO810"/>
  <c r="AN810"/>
  <c r="AL810"/>
  <c r="AK810"/>
  <c r="AJ810"/>
  <c r="AI810"/>
  <c r="AM809"/>
  <c r="AH809"/>
  <c r="AO808"/>
  <c r="AO805" s="1"/>
  <c r="AN808"/>
  <c r="AN805" s="1"/>
  <c r="AJ808"/>
  <c r="AJ805" s="1"/>
  <c r="AI808"/>
  <c r="AM806"/>
  <c r="AH806"/>
  <c r="AQ805"/>
  <c r="AP805"/>
  <c r="AL805"/>
  <c r="AK805"/>
  <c r="AI805"/>
  <c r="AM804"/>
  <c r="AH804"/>
  <c r="AM803"/>
  <c r="AH803"/>
  <c r="AM802"/>
  <c r="AH802"/>
  <c r="AM801"/>
  <c r="AH801"/>
  <c r="AM800"/>
  <c r="AH800"/>
  <c r="AM799"/>
  <c r="AH799"/>
  <c r="AM798"/>
  <c r="AH798"/>
  <c r="AM797"/>
  <c r="AH797"/>
  <c r="AM796"/>
  <c r="AH796"/>
  <c r="AQ795"/>
  <c r="AP795"/>
  <c r="AO795"/>
  <c r="AN795"/>
  <c r="AL795"/>
  <c r="AK795"/>
  <c r="AJ795"/>
  <c r="AI795"/>
  <c r="AM794"/>
  <c r="AH794"/>
  <c r="AM793"/>
  <c r="AH793"/>
  <c r="AM792"/>
  <c r="AH792"/>
  <c r="AM791"/>
  <c r="AH791"/>
  <c r="AM790"/>
  <c r="AH790"/>
  <c r="AM789"/>
  <c r="AH789"/>
  <c r="AM788"/>
  <c r="AH788"/>
  <c r="AM787"/>
  <c r="AH787"/>
  <c r="AM786"/>
  <c r="AH786"/>
  <c r="AM785"/>
  <c r="AH785"/>
  <c r="AM784"/>
  <c r="AH784"/>
  <c r="AM783"/>
  <c r="AH783"/>
  <c r="AM782"/>
  <c r="AH782"/>
  <c r="AM781"/>
  <c r="AH781"/>
  <c r="AM780"/>
  <c r="AH780"/>
  <c r="AM779"/>
  <c r="AH779"/>
  <c r="AM778"/>
  <c r="AH778"/>
  <c r="AM777"/>
  <c r="AH777"/>
  <c r="AM776"/>
  <c r="AH776"/>
  <c r="AQ775"/>
  <c r="AP775"/>
  <c r="AO775"/>
  <c r="AN775"/>
  <c r="AL775"/>
  <c r="AK775"/>
  <c r="AJ775"/>
  <c r="AI775"/>
  <c r="AM769"/>
  <c r="AH769"/>
  <c r="AM768"/>
  <c r="AH768"/>
  <c r="AM767"/>
  <c r="AH767"/>
  <c r="AQ766"/>
  <c r="AP766"/>
  <c r="AO766"/>
  <c r="AN766"/>
  <c r="AL766"/>
  <c r="AK766"/>
  <c r="AJ766"/>
  <c r="AI766"/>
  <c r="AM765"/>
  <c r="AM764" s="1"/>
  <c r="AH765"/>
  <c r="AH764" s="1"/>
  <c r="AQ764"/>
  <c r="AP764"/>
  <c r="AO764"/>
  <c r="AN764"/>
  <c r="AL764"/>
  <c r="AK764"/>
  <c r="AJ764"/>
  <c r="AI764"/>
  <c r="AM755"/>
  <c r="AH755"/>
  <c r="AM754"/>
  <c r="AH754"/>
  <c r="AM753"/>
  <c r="AH753"/>
  <c r="AM752"/>
  <c r="AH752"/>
  <c r="AM750"/>
  <c r="AH750"/>
  <c r="AQ749"/>
  <c r="AP749"/>
  <c r="AP747" s="1"/>
  <c r="AO749"/>
  <c r="AO747" s="1"/>
  <c r="AN749"/>
  <c r="AN747" s="1"/>
  <c r="AL749"/>
  <c r="AL747" s="1"/>
  <c r="AK749"/>
  <c r="AK747" s="1"/>
  <c r="AJ749"/>
  <c r="AJ747" s="1"/>
  <c r="AI749"/>
  <c r="AI747" s="1"/>
  <c r="AQ747"/>
  <c r="AM741"/>
  <c r="AM739" s="1"/>
  <c r="AH741"/>
  <c r="AH739" s="1"/>
  <c r="AQ739"/>
  <c r="AP739"/>
  <c r="AO739"/>
  <c r="AN739"/>
  <c r="AL739"/>
  <c r="AK739"/>
  <c r="AK734" s="1"/>
  <c r="AJ739"/>
  <c r="AI739"/>
  <c r="AM732"/>
  <c r="AH732"/>
  <c r="AM731"/>
  <c r="AH731"/>
  <c r="AM730"/>
  <c r="AH730"/>
  <c r="AM729"/>
  <c r="AH729"/>
  <c r="AM727"/>
  <c r="AH727"/>
  <c r="AM726"/>
  <c r="AH726"/>
  <c r="AQ725"/>
  <c r="AP725"/>
  <c r="AO725"/>
  <c r="AN725"/>
  <c r="AL725"/>
  <c r="AK725"/>
  <c r="AJ725"/>
  <c r="AI725"/>
  <c r="AM724"/>
  <c r="AH724"/>
  <c r="AM723"/>
  <c r="AH723"/>
  <c r="AM722"/>
  <c r="AH722"/>
  <c r="AQ721"/>
  <c r="AP721"/>
  <c r="AO721"/>
  <c r="AN721"/>
  <c r="AL721"/>
  <c r="AK721"/>
  <c r="AJ721"/>
  <c r="AI721"/>
  <c r="AM720"/>
  <c r="AH720"/>
  <c r="AM719"/>
  <c r="AH719"/>
  <c r="AQ718"/>
  <c r="AP718"/>
  <c r="AO718"/>
  <c r="AN718"/>
  <c r="AL718"/>
  <c r="AK718"/>
  <c r="AJ718"/>
  <c r="AI718"/>
  <c r="AM715"/>
  <c r="AM714" s="1"/>
  <c r="AH715"/>
  <c r="AH714" s="1"/>
  <c r="AQ714"/>
  <c r="AP714"/>
  <c r="AO714"/>
  <c r="AN714"/>
  <c r="AL714"/>
  <c r="AK714"/>
  <c r="AJ714"/>
  <c r="AI714"/>
  <c r="AM713"/>
  <c r="AH713"/>
  <c r="AM711"/>
  <c r="AH711"/>
  <c r="AM709"/>
  <c r="AH709"/>
  <c r="AM708"/>
  <c r="AH708"/>
  <c r="AM707"/>
  <c r="AH707"/>
  <c r="AM706"/>
  <c r="AH706"/>
  <c r="AM705"/>
  <c r="AH705"/>
  <c r="AM702"/>
  <c r="AH702"/>
  <c r="AM701"/>
  <c r="AH701"/>
  <c r="AM700"/>
  <c r="AH700"/>
  <c r="AM699"/>
  <c r="AH699"/>
  <c r="AM698"/>
  <c r="AH698"/>
  <c r="AM697"/>
  <c r="AH697"/>
  <c r="AM696"/>
  <c r="AH696"/>
  <c r="AM695"/>
  <c r="AH695"/>
  <c r="AM694"/>
  <c r="AH694"/>
  <c r="AM692"/>
  <c r="AH692"/>
  <c r="AM691"/>
  <c r="AH691"/>
  <c r="AQ690"/>
  <c r="AP690"/>
  <c r="AO690"/>
  <c r="AN690"/>
  <c r="AL690"/>
  <c r="AK690"/>
  <c r="AJ690"/>
  <c r="AI690"/>
  <c r="AQ688"/>
  <c r="AP688"/>
  <c r="AO688"/>
  <c r="AN688"/>
  <c r="AM688"/>
  <c r="AL688"/>
  <c r="AK688"/>
  <c r="AJ688"/>
  <c r="AI688"/>
  <c r="AH688"/>
  <c r="AM686"/>
  <c r="AH686"/>
  <c r="AM685"/>
  <c r="AH685"/>
  <c r="AM683"/>
  <c r="AH683"/>
  <c r="AM681"/>
  <c r="AH681"/>
  <c r="AM679"/>
  <c r="AH679"/>
  <c r="AM678"/>
  <c r="AH678"/>
  <c r="AM676"/>
  <c r="AH676"/>
  <c r="AM674"/>
  <c r="AH674"/>
  <c r="AM673"/>
  <c r="AH673"/>
  <c r="AM672"/>
  <c r="AH672"/>
  <c r="AM671"/>
  <c r="AH671"/>
  <c r="AM666"/>
  <c r="AH666"/>
  <c r="AM664"/>
  <c r="AH664"/>
  <c r="AM663"/>
  <c r="AH663"/>
  <c r="AM662"/>
  <c r="AH662"/>
  <c r="AQ661"/>
  <c r="AP661"/>
  <c r="AO661"/>
  <c r="AN661"/>
  <c r="AL661"/>
  <c r="AK661"/>
  <c r="AJ661"/>
  <c r="AI661"/>
  <c r="AM660"/>
  <c r="AH660"/>
  <c r="AM659"/>
  <c r="AH659"/>
  <c r="AM657"/>
  <c r="AH657"/>
  <c r="AM656"/>
  <c r="AH656"/>
  <c r="AM653"/>
  <c r="AH653"/>
  <c r="AM652"/>
  <c r="AH652"/>
  <c r="AM651"/>
  <c r="AH651"/>
  <c r="AM650"/>
  <c r="AH650"/>
  <c r="AM647"/>
  <c r="AH647"/>
  <c r="AM646"/>
  <c r="AH646"/>
  <c r="AM645"/>
  <c r="AH645"/>
  <c r="AM643"/>
  <c r="AH643"/>
  <c r="AM642"/>
  <c r="AH642"/>
  <c r="AM641"/>
  <c r="AH641"/>
  <c r="AM640"/>
  <c r="AH640"/>
  <c r="AM639"/>
  <c r="AH639"/>
  <c r="AM634"/>
  <c r="AH634"/>
  <c r="AM633"/>
  <c r="AH633"/>
  <c r="AM632"/>
  <c r="AH632"/>
  <c r="AM630"/>
  <c r="AH630"/>
  <c r="AM629"/>
  <c r="AH629"/>
  <c r="AM628"/>
  <c r="AH628"/>
  <c r="AM627"/>
  <c r="AH627"/>
  <c r="AM622"/>
  <c r="AH622"/>
  <c r="AM621"/>
  <c r="AH621"/>
  <c r="AM620"/>
  <c r="AH620"/>
  <c r="AM619"/>
  <c r="AH619"/>
  <c r="AM618"/>
  <c r="AH618"/>
  <c r="AM617"/>
  <c r="AH617"/>
  <c r="AM616"/>
  <c r="AH616"/>
  <c r="AQ615"/>
  <c r="AP615"/>
  <c r="AO615"/>
  <c r="AN615"/>
  <c r="AL615"/>
  <c r="AK615"/>
  <c r="AJ615"/>
  <c r="AI615"/>
  <c r="AM611"/>
  <c r="AM610" s="1"/>
  <c r="AH611"/>
  <c r="AH610" s="1"/>
  <c r="AQ610"/>
  <c r="AP610"/>
  <c r="AO610"/>
  <c r="AN610"/>
  <c r="AL610"/>
  <c r="AK610"/>
  <c r="AJ610"/>
  <c r="AI610"/>
  <c r="AM608"/>
  <c r="AH608"/>
  <c r="AM607"/>
  <c r="AH607"/>
  <c r="AM606"/>
  <c r="AH606"/>
  <c r="AM604"/>
  <c r="AH604"/>
  <c r="AM603"/>
  <c r="AH603"/>
  <c r="AM601"/>
  <c r="AH601"/>
  <c r="AM600"/>
  <c r="AH600"/>
  <c r="AM598"/>
  <c r="AH598"/>
  <c r="AM597"/>
  <c r="AH597"/>
  <c r="AM594"/>
  <c r="AH594"/>
  <c r="AM593"/>
  <c r="AH593"/>
  <c r="AM592"/>
  <c r="AH592"/>
  <c r="AQ591"/>
  <c r="AL591"/>
  <c r="AL590" s="1"/>
  <c r="AM589"/>
  <c r="AH589"/>
  <c r="AM586"/>
  <c r="AH586"/>
  <c r="AM585"/>
  <c r="AH585"/>
  <c r="AM584"/>
  <c r="AH584"/>
  <c r="AM583"/>
  <c r="AH583"/>
  <c r="AQ582"/>
  <c r="AM582" s="1"/>
  <c r="AL582"/>
  <c r="AP581"/>
  <c r="AO581"/>
  <c r="AN581"/>
  <c r="AK581"/>
  <c r="AJ581"/>
  <c r="AI581"/>
  <c r="AQ575"/>
  <c r="AP575"/>
  <c r="AO575"/>
  <c r="AN575"/>
  <c r="AM575"/>
  <c r="AL575"/>
  <c r="AK575"/>
  <c r="AJ575"/>
  <c r="AI575"/>
  <c r="AH575"/>
  <c r="AM569"/>
  <c r="AH569"/>
  <c r="AM567"/>
  <c r="AH567"/>
  <c r="AM566"/>
  <c r="AH566"/>
  <c r="AM565"/>
  <c r="AH565"/>
  <c r="AM564"/>
  <c r="AH564"/>
  <c r="AM563"/>
  <c r="AH563"/>
  <c r="AM562"/>
  <c r="AH562"/>
  <c r="AM561"/>
  <c r="AH561"/>
  <c r="AM560"/>
  <c r="AH560"/>
  <c r="AM559"/>
  <c r="AH559"/>
  <c r="AM558"/>
  <c r="AH558"/>
  <c r="AM557"/>
  <c r="AH557"/>
  <c r="AM556"/>
  <c r="AH556"/>
  <c r="AM555"/>
  <c r="AH555"/>
  <c r="AM549"/>
  <c r="AH549"/>
  <c r="AM548"/>
  <c r="AH548"/>
  <c r="AM547"/>
  <c r="AH547"/>
  <c r="AM546"/>
  <c r="AH546"/>
  <c r="AM545"/>
  <c r="AH545"/>
  <c r="AM544"/>
  <c r="AH544"/>
  <c r="AM543"/>
  <c r="AH543"/>
  <c r="AM542"/>
  <c r="AH542"/>
  <c r="AM541"/>
  <c r="AH541"/>
  <c r="AM540"/>
  <c r="AH540"/>
  <c r="AM538"/>
  <c r="AH538"/>
  <c r="AM537"/>
  <c r="AH537"/>
  <c r="AM536"/>
  <c r="AH536"/>
  <c r="AM535"/>
  <c r="AH535"/>
  <c r="AM534"/>
  <c r="AH534"/>
  <c r="AM532"/>
  <c r="AH532"/>
  <c r="AM531"/>
  <c r="AH531"/>
  <c r="AM526"/>
  <c r="AH526"/>
  <c r="AM525"/>
  <c r="AH525"/>
  <c r="AM522"/>
  <c r="AH522"/>
  <c r="AM521"/>
  <c r="AH521"/>
  <c r="AM520"/>
  <c r="AH520"/>
  <c r="AM519"/>
  <c r="AH519"/>
  <c r="AM518"/>
  <c r="AH518"/>
  <c r="AM516"/>
  <c r="AH516"/>
  <c r="AM515"/>
  <c r="AH515"/>
  <c r="AM513"/>
  <c r="AH513"/>
  <c r="AM509"/>
  <c r="AH509"/>
  <c r="AM508"/>
  <c r="AH508"/>
  <c r="AM507"/>
  <c r="AH507"/>
  <c r="AM502"/>
  <c r="AH502"/>
  <c r="AM501"/>
  <c r="AH501"/>
  <c r="AM500"/>
  <c r="AH500"/>
  <c r="AM499"/>
  <c r="AH499"/>
  <c r="AM498"/>
  <c r="AH498"/>
  <c r="AM497"/>
  <c r="AH497"/>
  <c r="AM495"/>
  <c r="AH495"/>
  <c r="AM494"/>
  <c r="AH494"/>
  <c r="AM493"/>
  <c r="AH493"/>
  <c r="AM492"/>
  <c r="AH492"/>
  <c r="AM490"/>
  <c r="AH490"/>
  <c r="AM489"/>
  <c r="AH489"/>
  <c r="AM488"/>
  <c r="AH488"/>
  <c r="AM487"/>
  <c r="AH487"/>
  <c r="AM486"/>
  <c r="AH486"/>
  <c r="AM485"/>
  <c r="AH485"/>
  <c r="AM484"/>
  <c r="AH484"/>
  <c r="AM483"/>
  <c r="AH483"/>
  <c r="AQ482"/>
  <c r="AP482" s="1"/>
  <c r="AO482" s="1"/>
  <c r="AN482" s="1"/>
  <c r="AM482" s="1"/>
  <c r="AL482"/>
  <c r="AK482" s="1"/>
  <c r="AJ482" s="1"/>
  <c r="AI482" s="1"/>
  <c r="AH482" s="1"/>
  <c r="AM480"/>
  <c r="AH480"/>
  <c r="AQ478"/>
  <c r="AP478" s="1"/>
  <c r="AL478"/>
  <c r="AK478" s="1"/>
  <c r="AM473"/>
  <c r="AM472" s="1"/>
  <c r="AH473"/>
  <c r="AH472" s="1"/>
  <c r="AQ472"/>
  <c r="AP472"/>
  <c r="AO472"/>
  <c r="AN472"/>
  <c r="AL472"/>
  <c r="AK472"/>
  <c r="AJ472"/>
  <c r="AI472"/>
  <c r="AM471"/>
  <c r="AM469" s="1"/>
  <c r="AH471"/>
  <c r="AH469" s="1"/>
  <c r="AQ469"/>
  <c r="AP469"/>
  <c r="AO469"/>
  <c r="AN469"/>
  <c r="AL469"/>
  <c r="AK469"/>
  <c r="AJ469"/>
  <c r="AI469"/>
  <c r="AM467"/>
  <c r="AH467"/>
  <c r="AM466"/>
  <c r="AH466"/>
  <c r="AQ465"/>
  <c r="AP465" s="1"/>
  <c r="AO465" s="1"/>
  <c r="AN465" s="1"/>
  <c r="AM465" s="1"/>
  <c r="AL465"/>
  <c r="AK465" s="1"/>
  <c r="AJ465" s="1"/>
  <c r="AI465" s="1"/>
  <c r="AH465" s="1"/>
  <c r="AM464"/>
  <c r="AH464"/>
  <c r="AM463"/>
  <c r="AH463"/>
  <c r="AQ462"/>
  <c r="AP462"/>
  <c r="AO462"/>
  <c r="AN462"/>
  <c r="AL462"/>
  <c r="AK462"/>
  <c r="AJ462"/>
  <c r="AI462"/>
  <c r="AM455"/>
  <c r="AH455"/>
  <c r="AM452"/>
  <c r="AH452"/>
  <c r="AM451"/>
  <c r="AH451"/>
  <c r="AM450"/>
  <c r="AH450"/>
  <c r="AM449"/>
  <c r="AH449"/>
  <c r="AM448"/>
  <c r="AH448"/>
  <c r="AM447"/>
  <c r="AH447"/>
  <c r="AM445"/>
  <c r="AH445"/>
  <c r="AM442"/>
  <c r="AH442"/>
  <c r="AM432"/>
  <c r="AH432"/>
  <c r="AM421"/>
  <c r="AH421"/>
  <c r="AM419"/>
  <c r="AH419"/>
  <c r="AQ418"/>
  <c r="AM418" s="1"/>
  <c r="AL418"/>
  <c r="AM416"/>
  <c r="AH416"/>
  <c r="AM415"/>
  <c r="AH415"/>
  <c r="AM414"/>
  <c r="AH414"/>
  <c r="AM413"/>
  <c r="AH413"/>
  <c r="AM412"/>
  <c r="AH412"/>
  <c r="AM410"/>
  <c r="AH410"/>
  <c r="AM409"/>
  <c r="AH409"/>
  <c r="AQ408"/>
  <c r="AM408" s="1"/>
  <c r="AL408"/>
  <c r="AH408" s="1"/>
  <c r="AP407"/>
  <c r="AO407"/>
  <c r="AN407"/>
  <c r="AK407"/>
  <c r="AJ407"/>
  <c r="AI407"/>
  <c r="AM406"/>
  <c r="AH406"/>
  <c r="AM403"/>
  <c r="AH403"/>
  <c r="AQ402"/>
  <c r="AM402" s="1"/>
  <c r="AL402"/>
  <c r="AM401"/>
  <c r="AH401"/>
  <c r="AM395"/>
  <c r="AH395"/>
  <c r="AM394"/>
  <c r="AH394"/>
  <c r="AM393"/>
  <c r="AH393"/>
  <c r="AM392"/>
  <c r="AH392"/>
  <c r="AQ391"/>
  <c r="AM391" s="1"/>
  <c r="AL391"/>
  <c r="AH391" s="1"/>
  <c r="AM387"/>
  <c r="AH387"/>
  <c r="AM386"/>
  <c r="AH386"/>
  <c r="AM376"/>
  <c r="AH376"/>
  <c r="AM367"/>
  <c r="AH367"/>
  <c r="AM366"/>
  <c r="AH366"/>
  <c r="AM365"/>
  <c r="AH365"/>
  <c r="AM364"/>
  <c r="AH364"/>
  <c r="AQ362"/>
  <c r="AP362" s="1"/>
  <c r="AP361" s="1"/>
  <c r="AL362"/>
  <c r="AK362" s="1"/>
  <c r="AM359"/>
  <c r="AH359"/>
  <c r="AM356"/>
  <c r="AH356"/>
  <c r="AM355"/>
  <c r="AH355"/>
  <c r="AM354"/>
  <c r="AH354"/>
  <c r="AM353"/>
  <c r="AH353"/>
  <c r="AM352"/>
  <c r="AH352"/>
  <c r="AM349"/>
  <c r="AH349"/>
  <c r="AQ348"/>
  <c r="AP348"/>
  <c r="AO348"/>
  <c r="AN348"/>
  <c r="AL348"/>
  <c r="AK348"/>
  <c r="AJ348"/>
  <c r="AI348"/>
  <c r="AM347"/>
  <c r="AH347"/>
  <c r="AQ346"/>
  <c r="AL346"/>
  <c r="AH346" s="1"/>
  <c r="AM345"/>
  <c r="AH345"/>
  <c r="AM343"/>
  <c r="AH343"/>
  <c r="AM339"/>
  <c r="AH339"/>
  <c r="AM338"/>
  <c r="AH338"/>
  <c r="AM337"/>
  <c r="AH337"/>
  <c r="AM336"/>
  <c r="AH336"/>
  <c r="AM335"/>
  <c r="AH335"/>
  <c r="AP334"/>
  <c r="AO334"/>
  <c r="AN334"/>
  <c r="AK334"/>
  <c r="AJ334"/>
  <c r="AI334"/>
  <c r="AM333"/>
  <c r="AH333"/>
  <c r="AM331"/>
  <c r="AH331"/>
  <c r="AM330"/>
  <c r="AH330"/>
  <c r="AM329"/>
  <c r="AH329"/>
  <c r="AM328"/>
  <c r="AH328"/>
  <c r="AM327"/>
  <c r="AH327"/>
  <c r="AM326"/>
  <c r="AH326"/>
  <c r="AM325"/>
  <c r="AH325"/>
  <c r="AQ324"/>
  <c r="AP324"/>
  <c r="AO324"/>
  <c r="AN324"/>
  <c r="AL324"/>
  <c r="AK324"/>
  <c r="AJ324"/>
  <c r="AI324"/>
  <c r="AM321"/>
  <c r="AH321"/>
  <c r="AM320"/>
  <c r="AH320"/>
  <c r="AM319"/>
  <c r="AH319"/>
  <c r="AQ318"/>
  <c r="AM318" s="1"/>
  <c r="AL318"/>
  <c r="AH318" s="1"/>
  <c r="AM309"/>
  <c r="AH309"/>
  <c r="AM308"/>
  <c r="AH308"/>
  <c r="AM307"/>
  <c r="AH307"/>
  <c r="AM306"/>
  <c r="AH306"/>
  <c r="AM305"/>
  <c r="AH305"/>
  <c r="AM304"/>
  <c r="AH304"/>
  <c r="AM303"/>
  <c r="AH303"/>
  <c r="AM302"/>
  <c r="AH302"/>
  <c r="AQ301"/>
  <c r="AM301" s="1"/>
  <c r="AL301"/>
  <c r="AH301" s="1"/>
  <c r="AM300"/>
  <c r="AH300"/>
  <c r="AM299"/>
  <c r="AH299"/>
  <c r="AM298"/>
  <c r="AH298"/>
  <c r="AM297"/>
  <c r="AH297"/>
  <c r="AM296"/>
  <c r="AH296"/>
  <c r="AM295"/>
  <c r="AH295"/>
  <c r="AM294"/>
  <c r="AH294"/>
  <c r="AQ293"/>
  <c r="AM293" s="1"/>
  <c r="AL293"/>
  <c r="AM292"/>
  <c r="AH292"/>
  <c r="AM291"/>
  <c r="AH291"/>
  <c r="AM290"/>
  <c r="AH290"/>
  <c r="AM289"/>
  <c r="AH289"/>
  <c r="AM288"/>
  <c r="AH288"/>
  <c r="AP285"/>
  <c r="AO285"/>
  <c r="AN285"/>
  <c r="AK285"/>
  <c r="AJ285"/>
  <c r="AI285"/>
  <c r="AM284"/>
  <c r="AH284"/>
  <c r="AM282"/>
  <c r="AH282"/>
  <c r="AM281"/>
  <c r="AH281"/>
  <c r="AM280"/>
  <c r="AH280"/>
  <c r="AM279"/>
  <c r="AH279"/>
  <c r="AM266"/>
  <c r="AH266"/>
  <c r="AM265"/>
  <c r="AH265"/>
  <c r="AM264"/>
  <c r="AH264"/>
  <c r="AM263"/>
  <c r="AH263"/>
  <c r="AQ262"/>
  <c r="AL262"/>
  <c r="AH262" s="1"/>
  <c r="AM261"/>
  <c r="AH261"/>
  <c r="AQ260"/>
  <c r="AM260" s="1"/>
  <c r="AL260"/>
  <c r="AH260" s="1"/>
  <c r="AQ259"/>
  <c r="AM259" s="1"/>
  <c r="AL259"/>
  <c r="AH259" s="1"/>
  <c r="AQ258"/>
  <c r="AM258" s="1"/>
  <c r="AL258"/>
  <c r="AM255"/>
  <c r="AH255"/>
  <c r="AM254"/>
  <c r="AH254"/>
  <c r="AM253"/>
  <c r="AH253"/>
  <c r="AN252"/>
  <c r="AI252"/>
  <c r="AH252" s="1"/>
  <c r="AM251"/>
  <c r="AH251"/>
  <c r="AM250"/>
  <c r="AH250"/>
  <c r="AM249"/>
  <c r="AH249"/>
  <c r="AM248"/>
  <c r="AH248"/>
  <c r="AM246"/>
  <c r="AH246"/>
  <c r="AM245"/>
  <c r="AH245"/>
  <c r="AM244"/>
  <c r="AH244"/>
  <c r="AM243"/>
  <c r="AH243"/>
  <c r="AM241"/>
  <c r="AH241"/>
  <c r="AM238"/>
  <c r="AH238"/>
  <c r="AM237"/>
  <c r="AH237"/>
  <c r="AM236"/>
  <c r="AH236"/>
  <c r="AM230"/>
  <c r="AH230"/>
  <c r="AM229"/>
  <c r="AH229"/>
  <c r="AM228"/>
  <c r="AH228"/>
  <c r="AM227"/>
  <c r="AH227"/>
  <c r="AM225"/>
  <c r="AH225"/>
  <c r="AM224"/>
  <c r="AH224"/>
  <c r="AM223"/>
  <c r="AH223"/>
  <c r="AM222"/>
  <c r="AH222"/>
  <c r="AM221"/>
  <c r="AH221"/>
  <c r="AM220"/>
  <c r="AH220"/>
  <c r="AM219"/>
  <c r="AH219"/>
  <c r="AM218"/>
  <c r="AH218"/>
  <c r="AM217"/>
  <c r="AH217"/>
  <c r="AM215"/>
  <c r="AH215"/>
  <c r="AM214"/>
  <c r="AH214"/>
  <c r="AM212"/>
  <c r="AH212"/>
  <c r="AM211"/>
  <c r="AH211"/>
  <c r="AP210"/>
  <c r="AO210"/>
  <c r="AK210"/>
  <c r="AJ210"/>
  <c r="AM206"/>
  <c r="AH206"/>
  <c r="AM205"/>
  <c r="AH205"/>
  <c r="AM202"/>
  <c r="AH202"/>
  <c r="AM201"/>
  <c r="AH201"/>
  <c r="AM200"/>
  <c r="AH200"/>
  <c r="AM199"/>
  <c r="AH199"/>
  <c r="AM198"/>
  <c r="AH198"/>
  <c r="AM197"/>
  <c r="AH197"/>
  <c r="AM196"/>
  <c r="AH196"/>
  <c r="AM195"/>
  <c r="AH195"/>
  <c r="AM194"/>
  <c r="AH194"/>
  <c r="AM193"/>
  <c r="AH193"/>
  <c r="AM192"/>
  <c r="AH192"/>
  <c r="AM191"/>
  <c r="AH191"/>
  <c r="AM190"/>
  <c r="AH190"/>
  <c r="AM189"/>
  <c r="AH189"/>
  <c r="AM183"/>
  <c r="AH183"/>
  <c r="AM182"/>
  <c r="AH182"/>
  <c r="AM181"/>
  <c r="AH181"/>
  <c r="AM180"/>
  <c r="AH180"/>
  <c r="AQ179"/>
  <c r="AL179"/>
  <c r="AL178" s="1"/>
  <c r="AM177"/>
  <c r="AH177"/>
  <c r="AM176"/>
  <c r="AH176"/>
  <c r="AM175"/>
  <c r="AH175"/>
  <c r="AM174"/>
  <c r="AH174"/>
  <c r="AM173"/>
  <c r="AH173"/>
  <c r="AM170"/>
  <c r="AH170"/>
  <c r="AQ169"/>
  <c r="AP169"/>
  <c r="AO169"/>
  <c r="AN169"/>
  <c r="AL169"/>
  <c r="AK169"/>
  <c r="AJ169"/>
  <c r="AI169"/>
  <c r="AQ168"/>
  <c r="AM168" s="1"/>
  <c r="AL168"/>
  <c r="AM163"/>
  <c r="AH163"/>
  <c r="AM162"/>
  <c r="AH162"/>
  <c r="AM161"/>
  <c r="AH161"/>
  <c r="AM159"/>
  <c r="AH159"/>
  <c r="AM158"/>
  <c r="AH158"/>
  <c r="AM157"/>
  <c r="AH157"/>
  <c r="AP156"/>
  <c r="AO156"/>
  <c r="AN156"/>
  <c r="AK156"/>
  <c r="AJ156"/>
  <c r="AI156"/>
  <c r="AM155"/>
  <c r="AH155"/>
  <c r="AM154"/>
  <c r="AH154"/>
  <c r="AM153"/>
  <c r="AH153"/>
  <c r="AQ152"/>
  <c r="AP152"/>
  <c r="AO152"/>
  <c r="AN152"/>
  <c r="AL152"/>
  <c r="AK152"/>
  <c r="AJ152"/>
  <c r="AI152"/>
  <c r="AQ149"/>
  <c r="AL149"/>
  <c r="AH149" s="1"/>
  <c r="AM148"/>
  <c r="AH148"/>
  <c r="AM138"/>
  <c r="AH138"/>
  <c r="AM137"/>
  <c r="AH137"/>
  <c r="AM136"/>
  <c r="AH136"/>
  <c r="AM135"/>
  <c r="AH135"/>
  <c r="AM134"/>
  <c r="AH134"/>
  <c r="AM133"/>
  <c r="AH133"/>
  <c r="AM132"/>
  <c r="AH132"/>
  <c r="AM131"/>
  <c r="AH131"/>
  <c r="AM130"/>
  <c r="AH130"/>
  <c r="AM129"/>
  <c r="AH129"/>
  <c r="AP107"/>
  <c r="AO107"/>
  <c r="AN107"/>
  <c r="AK107"/>
  <c r="AJ107"/>
  <c r="AI107"/>
  <c r="AM106"/>
  <c r="AH106"/>
  <c r="AM105"/>
  <c r="AH105"/>
  <c r="AM104"/>
  <c r="AH104"/>
  <c r="AM103"/>
  <c r="AH103"/>
  <c r="AM102"/>
  <c r="AH102"/>
  <c r="AM101"/>
  <c r="AH101"/>
  <c r="AM100"/>
  <c r="AH100"/>
  <c r="AM99"/>
  <c r="AH99"/>
  <c r="AM98"/>
  <c r="AH98"/>
  <c r="AM97"/>
  <c r="AH97"/>
  <c r="AM96"/>
  <c r="AH96"/>
  <c r="AM95"/>
  <c r="AH95"/>
  <c r="AM94"/>
  <c r="AH94"/>
  <c r="AM93"/>
  <c r="AH93"/>
  <c r="AM92"/>
  <c r="AH92"/>
  <c r="AM89"/>
  <c r="AH89"/>
  <c r="AM88"/>
  <c r="AH88"/>
  <c r="AM87"/>
  <c r="AH87"/>
  <c r="AM86"/>
  <c r="AH86"/>
  <c r="AM85"/>
  <c r="AH85"/>
  <c r="AM84"/>
  <c r="AH84"/>
  <c r="AM83"/>
  <c r="AH83"/>
  <c r="AM79"/>
  <c r="AH79"/>
  <c r="AM78"/>
  <c r="AH78"/>
  <c r="AM77"/>
  <c r="AH77"/>
  <c r="AM76"/>
  <c r="AH76"/>
  <c r="AM75"/>
  <c r="AH75"/>
  <c r="AM73"/>
  <c r="AH73"/>
  <c r="AM70"/>
  <c r="AH70"/>
  <c r="AM69"/>
  <c r="AH69"/>
  <c r="AM68"/>
  <c r="AH68"/>
  <c r="AM67"/>
  <c r="AH67"/>
  <c r="AM66"/>
  <c r="AH66"/>
  <c r="AQ65"/>
  <c r="AP65"/>
  <c r="AO65"/>
  <c r="AN65"/>
  <c r="AL65"/>
  <c r="AK65"/>
  <c r="AJ65"/>
  <c r="AI65"/>
  <c r="AM49"/>
  <c r="AH49"/>
  <c r="AM44"/>
  <c r="AH44"/>
  <c r="AM38"/>
  <c r="AH38"/>
  <c r="AQ37"/>
  <c r="AP37"/>
  <c r="AO37"/>
  <c r="AN37"/>
  <c r="AL37"/>
  <c r="AK37"/>
  <c r="AJ37"/>
  <c r="AI37"/>
  <c r="AM36"/>
  <c r="AH36"/>
  <c r="AM35"/>
  <c r="AH35"/>
  <c r="AQ34"/>
  <c r="AM34" s="1"/>
  <c r="AL34"/>
  <c r="AH34" s="1"/>
  <c r="AM32"/>
  <c r="AH32"/>
  <c r="AM30"/>
  <c r="AH30"/>
  <c r="AM29"/>
  <c r="AH29"/>
  <c r="AM24"/>
  <c r="AH24"/>
  <c r="AM22"/>
  <c r="AH22"/>
  <c r="AQ21"/>
  <c r="AM21" s="1"/>
  <c r="AL21"/>
  <c r="AM20"/>
  <c r="AH20"/>
  <c r="AQ19"/>
  <c r="AM19" s="1"/>
  <c r="AL19"/>
  <c r="AH19" s="1"/>
  <c r="AP18"/>
  <c r="AO18"/>
  <c r="AN18"/>
  <c r="AK18"/>
  <c r="AJ18"/>
  <c r="AI18"/>
  <c r="AG883"/>
  <c r="AC883" s="1"/>
  <c r="X883"/>
  <c r="AC877"/>
  <c r="Z877"/>
  <c r="X877" s="1"/>
  <c r="AC876"/>
  <c r="Z876"/>
  <c r="X876" s="1"/>
  <c r="AC875"/>
  <c r="X875"/>
  <c r="AE874"/>
  <c r="AC874" s="1"/>
  <c r="Z874"/>
  <c r="X874" s="1"/>
  <c r="AC873"/>
  <c r="X873"/>
  <c r="AG872"/>
  <c r="AF872"/>
  <c r="AD872"/>
  <c r="AB872"/>
  <c r="AA872"/>
  <c r="Y872"/>
  <c r="AC871"/>
  <c r="X871"/>
  <c r="AC870"/>
  <c r="X870"/>
  <c r="AC869"/>
  <c r="Z869"/>
  <c r="X869" s="1"/>
  <c r="AC868"/>
  <c r="X868"/>
  <c r="AC867"/>
  <c r="Z867"/>
  <c r="X867" s="1"/>
  <c r="AC866"/>
  <c r="X866"/>
  <c r="AC865"/>
  <c r="Z865"/>
  <c r="AC864"/>
  <c r="X864"/>
  <c r="AC863"/>
  <c r="X863"/>
  <c r="AG862"/>
  <c r="AF862"/>
  <c r="AE862"/>
  <c r="AD862"/>
  <c r="AB862"/>
  <c r="AA862"/>
  <c r="Y862"/>
  <c r="AC861"/>
  <c r="Z861"/>
  <c r="X861" s="1"/>
  <c r="AC860"/>
  <c r="X860"/>
  <c r="AE858"/>
  <c r="AC858" s="1"/>
  <c r="Z858"/>
  <c r="X858" s="1"/>
  <c r="AC857"/>
  <c r="X857"/>
  <c r="AE855"/>
  <c r="AC855" s="1"/>
  <c r="Z855"/>
  <c r="X855" s="1"/>
  <c r="AC853"/>
  <c r="X853"/>
  <c r="AC852"/>
  <c r="Z852"/>
  <c r="X852" s="1"/>
  <c r="AC851"/>
  <c r="X851"/>
  <c r="AC850"/>
  <c r="Z850"/>
  <c r="AC849"/>
  <c r="X849"/>
  <c r="AC848"/>
  <c r="Z848"/>
  <c r="X848" s="1"/>
  <c r="AC847"/>
  <c r="X847"/>
  <c r="AC846"/>
  <c r="X846"/>
  <c r="AG845"/>
  <c r="AF845"/>
  <c r="AD845"/>
  <c r="AB845"/>
  <c r="AA845"/>
  <c r="Y845"/>
  <c r="AC835"/>
  <c r="AC834"/>
  <c r="Z834"/>
  <c r="X834" s="1"/>
  <c r="AG833"/>
  <c r="AF833"/>
  <c r="AE833"/>
  <c r="AD833"/>
  <c r="AB833"/>
  <c r="AA833"/>
  <c r="Y833"/>
  <c r="AE832"/>
  <c r="AC832" s="1"/>
  <c r="Z832"/>
  <c r="Z830" s="1"/>
  <c r="AC831"/>
  <c r="X831"/>
  <c r="AG830"/>
  <c r="AF830"/>
  <c r="AD830"/>
  <c r="AB830"/>
  <c r="AA830"/>
  <c r="Y830"/>
  <c r="AC828"/>
  <c r="X828"/>
  <c r="AC827"/>
  <c r="Z827"/>
  <c r="X827" s="1"/>
  <c r="AC826"/>
  <c r="Z826"/>
  <c r="AC825"/>
  <c r="Z825"/>
  <c r="X825" s="1"/>
  <c r="AC824"/>
  <c r="Z824"/>
  <c r="X824" s="1"/>
  <c r="AC823"/>
  <c r="X823"/>
  <c r="AC822"/>
  <c r="X822"/>
  <c r="AG821"/>
  <c r="AF821"/>
  <c r="AE821"/>
  <c r="AD821"/>
  <c r="AB821"/>
  <c r="AA821"/>
  <c r="Y821"/>
  <c r="AC820"/>
  <c r="Z820"/>
  <c r="X820" s="1"/>
  <c r="AC819"/>
  <c r="X819"/>
  <c r="AC818"/>
  <c r="X818"/>
  <c r="AC817"/>
  <c r="X817"/>
  <c r="AG816"/>
  <c r="AF816"/>
  <c r="AE816"/>
  <c r="AD816"/>
  <c r="AB816"/>
  <c r="AA816"/>
  <c r="Z816"/>
  <c r="Y816"/>
  <c r="AC815"/>
  <c r="Z815"/>
  <c r="X815" s="1"/>
  <c r="AC814"/>
  <c r="Z814"/>
  <c r="X814" s="1"/>
  <c r="AC813"/>
  <c r="Z813"/>
  <c r="X813" s="1"/>
  <c r="AG812"/>
  <c r="AF812"/>
  <c r="AE812"/>
  <c r="AD812"/>
  <c r="AB812"/>
  <c r="AA812"/>
  <c r="Y812"/>
  <c r="AC811"/>
  <c r="AC810" s="1"/>
  <c r="X811"/>
  <c r="X810" s="1"/>
  <c r="AG810"/>
  <c r="AF810"/>
  <c r="AE810"/>
  <c r="AD810"/>
  <c r="AB810"/>
  <c r="AA810"/>
  <c r="Z810"/>
  <c r="Y810"/>
  <c r="AC809"/>
  <c r="Y809"/>
  <c r="X809" s="1"/>
  <c r="AE808"/>
  <c r="AD808"/>
  <c r="AD805" s="1"/>
  <c r="Z808"/>
  <c r="Y808"/>
  <c r="AC806"/>
  <c r="Z806"/>
  <c r="X806" s="1"/>
  <c r="AG805"/>
  <c r="AF805"/>
  <c r="AE805"/>
  <c r="AB805"/>
  <c r="AA805"/>
  <c r="AC804"/>
  <c r="Z804"/>
  <c r="X804" s="1"/>
  <c r="AC803"/>
  <c r="Z803"/>
  <c r="X803" s="1"/>
  <c r="AC802"/>
  <c r="Z802"/>
  <c r="X802" s="1"/>
  <c r="AC801"/>
  <c r="Z801"/>
  <c r="X801" s="1"/>
  <c r="AC800"/>
  <c r="Z800"/>
  <c r="X800" s="1"/>
  <c r="AC799"/>
  <c r="Z799"/>
  <c r="X799" s="1"/>
  <c r="AC798"/>
  <c r="Z798"/>
  <c r="X798" s="1"/>
  <c r="AC797"/>
  <c r="Z797"/>
  <c r="X797" s="1"/>
  <c r="AC796"/>
  <c r="Z796"/>
  <c r="X796" s="1"/>
  <c r="AG795"/>
  <c r="AF795"/>
  <c r="AE795"/>
  <c r="AD795"/>
  <c r="AB795"/>
  <c r="AA795"/>
  <c r="Y795"/>
  <c r="AC794"/>
  <c r="X794"/>
  <c r="AC793"/>
  <c r="Z793"/>
  <c r="X793" s="1"/>
  <c r="AC792"/>
  <c r="Z792"/>
  <c r="X792" s="1"/>
  <c r="AC791"/>
  <c r="X791"/>
  <c r="AC790"/>
  <c r="Z790"/>
  <c r="X790" s="1"/>
  <c r="AC789"/>
  <c r="X789"/>
  <c r="AC788"/>
  <c r="X788"/>
  <c r="AC787"/>
  <c r="Z787"/>
  <c r="X787" s="1"/>
  <c r="AC786"/>
  <c r="Z786"/>
  <c r="X786" s="1"/>
  <c r="AC785"/>
  <c r="X785"/>
  <c r="AC784"/>
  <c r="Z784"/>
  <c r="X784" s="1"/>
  <c r="AC783"/>
  <c r="X783"/>
  <c r="AC782"/>
  <c r="Z782"/>
  <c r="X782" s="1"/>
  <c r="AC781"/>
  <c r="X781"/>
  <c r="AC780"/>
  <c r="Z780"/>
  <c r="X780" s="1"/>
  <c r="AC779"/>
  <c r="X779"/>
  <c r="AC778"/>
  <c r="Z778"/>
  <c r="AC777"/>
  <c r="X777"/>
  <c r="AC776"/>
  <c r="Z776"/>
  <c r="X776" s="1"/>
  <c r="AG775"/>
  <c r="AF775"/>
  <c r="AE775"/>
  <c r="AD775"/>
  <c r="AB775"/>
  <c r="AA775"/>
  <c r="Y775"/>
  <c r="AC769"/>
  <c r="X769"/>
  <c r="AC768"/>
  <c r="Y768"/>
  <c r="X768" s="1"/>
  <c r="AC767"/>
  <c r="Y767"/>
  <c r="X767" s="1"/>
  <c r="AG766"/>
  <c r="AF766"/>
  <c r="AE766"/>
  <c r="AD766"/>
  <c r="AB766"/>
  <c r="AA766"/>
  <c r="Z766"/>
  <c r="AC765"/>
  <c r="AC764" s="1"/>
  <c r="X765"/>
  <c r="X764" s="1"/>
  <c r="AG764"/>
  <c r="AF764"/>
  <c r="AE764"/>
  <c r="AD764"/>
  <c r="AB764"/>
  <c r="AA764"/>
  <c r="Z764"/>
  <c r="Y764"/>
  <c r="AC755"/>
  <c r="AB755"/>
  <c r="X755" s="1"/>
  <c r="AC754"/>
  <c r="X754"/>
  <c r="AC753"/>
  <c r="AB753"/>
  <c r="X753" s="1"/>
  <c r="AC752"/>
  <c r="X752"/>
  <c r="X751"/>
  <c r="AC750"/>
  <c r="X750"/>
  <c r="AG749"/>
  <c r="AG747" s="1"/>
  <c r="AF749"/>
  <c r="AF747" s="1"/>
  <c r="AE749"/>
  <c r="AE747" s="1"/>
  <c r="AD749"/>
  <c r="AA749"/>
  <c r="AA747" s="1"/>
  <c r="Z749"/>
  <c r="Z747" s="1"/>
  <c r="Y749"/>
  <c r="Y747" s="1"/>
  <c r="AD747"/>
  <c r="X743"/>
  <c r="X742"/>
  <c r="AC741"/>
  <c r="AC739" s="1"/>
  <c r="X741"/>
  <c r="AG739"/>
  <c r="AF739"/>
  <c r="AE739"/>
  <c r="AD739"/>
  <c r="AD734" s="1"/>
  <c r="AB739"/>
  <c r="AA739"/>
  <c r="Z739"/>
  <c r="Y739"/>
  <c r="AC733"/>
  <c r="X733"/>
  <c r="AC732"/>
  <c r="Z732"/>
  <c r="X732" s="1"/>
  <c r="AC731"/>
  <c r="Z731"/>
  <c r="X731" s="1"/>
  <c r="AC730"/>
  <c r="Z730"/>
  <c r="X730" s="1"/>
  <c r="AC729"/>
  <c r="Z729"/>
  <c r="X729" s="1"/>
  <c r="AC727"/>
  <c r="AB727"/>
  <c r="X727" s="1"/>
  <c r="AC726"/>
  <c r="X726"/>
  <c r="AG725"/>
  <c r="AF725"/>
  <c r="AE725"/>
  <c r="AD725"/>
  <c r="AA725"/>
  <c r="Y725"/>
  <c r="AC724"/>
  <c r="AB724"/>
  <c r="Z724"/>
  <c r="Y724"/>
  <c r="AC723"/>
  <c r="AB723"/>
  <c r="AB721" s="1"/>
  <c r="Z723"/>
  <c r="Y723"/>
  <c r="AC722"/>
  <c r="Z722"/>
  <c r="Y722"/>
  <c r="AG721"/>
  <c r="AF721"/>
  <c r="AE721"/>
  <c r="AD721"/>
  <c r="AA721"/>
  <c r="AC720"/>
  <c r="AB720"/>
  <c r="X720" s="1"/>
  <c r="AC719"/>
  <c r="AB719"/>
  <c r="AG718"/>
  <c r="AF718"/>
  <c r="AE718"/>
  <c r="AD718"/>
  <c r="AA718"/>
  <c r="Z718"/>
  <c r="Y718"/>
  <c r="X716"/>
  <c r="AC715"/>
  <c r="AC714" s="1"/>
  <c r="X715"/>
  <c r="AG714"/>
  <c r="AF714"/>
  <c r="AE714"/>
  <c r="AD714"/>
  <c r="AB714"/>
  <c r="AA714"/>
  <c r="Z714"/>
  <c r="Y714"/>
  <c r="AC713"/>
  <c r="AB713"/>
  <c r="X713" s="1"/>
  <c r="X712"/>
  <c r="AC711"/>
  <c r="AB711"/>
  <c r="X711" s="1"/>
  <c r="AC709"/>
  <c r="X709"/>
  <c r="AC708"/>
  <c r="X708"/>
  <c r="AC707"/>
  <c r="X707"/>
  <c r="AC706"/>
  <c r="X706"/>
  <c r="AC705"/>
  <c r="X705"/>
  <c r="X704"/>
  <c r="X703"/>
  <c r="AC702"/>
  <c r="AB702"/>
  <c r="X702" s="1"/>
  <c r="AC701"/>
  <c r="AB701"/>
  <c r="X701" s="1"/>
  <c r="AC700"/>
  <c r="X700"/>
  <c r="AC699"/>
  <c r="AB699"/>
  <c r="X699" s="1"/>
  <c r="AC698"/>
  <c r="AB698"/>
  <c r="X698" s="1"/>
  <c r="AC697"/>
  <c r="X697"/>
  <c r="AC696"/>
  <c r="X696"/>
  <c r="AC695"/>
  <c r="AB695"/>
  <c r="X695" s="1"/>
  <c r="AC694"/>
  <c r="AB694"/>
  <c r="X694" s="1"/>
  <c r="AC692"/>
  <c r="X692"/>
  <c r="AC691"/>
  <c r="X691"/>
  <c r="AG690"/>
  <c r="AF690"/>
  <c r="AE690"/>
  <c r="AD690"/>
  <c r="AA690"/>
  <c r="Z690"/>
  <c r="Y690"/>
  <c r="X689"/>
  <c r="X688" s="1"/>
  <c r="AG688"/>
  <c r="AF688"/>
  <c r="AE688"/>
  <c r="AD688"/>
  <c r="AC688"/>
  <c r="AB688"/>
  <c r="AA688"/>
  <c r="Z688"/>
  <c r="Y688"/>
  <c r="AC686"/>
  <c r="AB686"/>
  <c r="X686" s="1"/>
  <c r="AC685"/>
  <c r="AB685"/>
  <c r="X685" s="1"/>
  <c r="X684"/>
  <c r="AC683"/>
  <c r="AB683"/>
  <c r="X683" s="1"/>
  <c r="X682"/>
  <c r="AC681"/>
  <c r="Z680"/>
  <c r="AC679"/>
  <c r="AC678"/>
  <c r="X677"/>
  <c r="AC676"/>
  <c r="AB676"/>
  <c r="X676" s="1"/>
  <c r="X675"/>
  <c r="AC674"/>
  <c r="AB674"/>
  <c r="X674" s="1"/>
  <c r="AC673"/>
  <c r="AB673"/>
  <c r="X673" s="1"/>
  <c r="AC672"/>
  <c r="AB672"/>
  <c r="X672" s="1"/>
  <c r="AC671"/>
  <c r="AB671"/>
  <c r="X671" s="1"/>
  <c r="X668"/>
  <c r="X667"/>
  <c r="AC666"/>
  <c r="X666"/>
  <c r="X665"/>
  <c r="AC664"/>
  <c r="AC663"/>
  <c r="X663"/>
  <c r="AC662"/>
  <c r="AB662"/>
  <c r="X662" s="1"/>
  <c r="AG661"/>
  <c r="AF661"/>
  <c r="AE661"/>
  <c r="AD661"/>
  <c r="AA661"/>
  <c r="Y661"/>
  <c r="AC660"/>
  <c r="AB660"/>
  <c r="X660" s="1"/>
  <c r="AC659"/>
  <c r="X659"/>
  <c r="X658"/>
  <c r="AC657"/>
  <c r="X657"/>
  <c r="AC656"/>
  <c r="AB656"/>
  <c r="X656" s="1"/>
  <c r="X655"/>
  <c r="X654"/>
  <c r="AC653"/>
  <c r="AB653"/>
  <c r="X653" s="1"/>
  <c r="AC652"/>
  <c r="X652"/>
  <c r="AC651"/>
  <c r="AC650"/>
  <c r="X650"/>
  <c r="X649"/>
  <c r="Z648"/>
  <c r="X648" s="1"/>
  <c r="AC647"/>
  <c r="X647"/>
  <c r="AC646"/>
  <c r="X646"/>
  <c r="AC645"/>
  <c r="X644"/>
  <c r="AC643"/>
  <c r="X643"/>
  <c r="AC642"/>
  <c r="X642"/>
  <c r="AC641"/>
  <c r="AB641"/>
  <c r="X641" s="1"/>
  <c r="AC640"/>
  <c r="AB640"/>
  <c r="X640" s="1"/>
  <c r="AC639"/>
  <c r="AB639"/>
  <c r="X639" s="1"/>
  <c r="X635"/>
  <c r="AC634"/>
  <c r="AB634"/>
  <c r="X634" s="1"/>
  <c r="AC633"/>
  <c r="AB633"/>
  <c r="X633" s="1"/>
  <c r="AC632"/>
  <c r="X632"/>
  <c r="AC630"/>
  <c r="AB630"/>
  <c r="X630" s="1"/>
  <c r="AC629"/>
  <c r="AC628"/>
  <c r="AB628"/>
  <c r="X628" s="1"/>
  <c r="AC627"/>
  <c r="AB627"/>
  <c r="X627" s="1"/>
  <c r="X626"/>
  <c r="X625"/>
  <c r="X624"/>
  <c r="AC622"/>
  <c r="X622"/>
  <c r="AC621"/>
  <c r="AC620"/>
  <c r="AC619"/>
  <c r="X619"/>
  <c r="AC618"/>
  <c r="X618"/>
  <c r="AC617"/>
  <c r="AB617"/>
  <c r="X617" s="1"/>
  <c r="AC616"/>
  <c r="AB616"/>
  <c r="AG615"/>
  <c r="AF615"/>
  <c r="AE615"/>
  <c r="AD615"/>
  <c r="AA615"/>
  <c r="Y615"/>
  <c r="AC611"/>
  <c r="AC610" s="1"/>
  <c r="X611"/>
  <c r="X610" s="1"/>
  <c r="AG610"/>
  <c r="AF610"/>
  <c r="AE610"/>
  <c r="AD610"/>
  <c r="AB610"/>
  <c r="AA610"/>
  <c r="Z610"/>
  <c r="Y610"/>
  <c r="AC608"/>
  <c r="X608"/>
  <c r="AC607"/>
  <c r="X607"/>
  <c r="AC606"/>
  <c r="X606"/>
  <c r="AC604"/>
  <c r="X604"/>
  <c r="AC603"/>
  <c r="X603"/>
  <c r="AC601"/>
  <c r="X601"/>
  <c r="AC600"/>
  <c r="AB600"/>
  <c r="X600" s="1"/>
  <c r="AC598"/>
  <c r="X598"/>
  <c r="AC597"/>
  <c r="AB597"/>
  <c r="X597" s="1"/>
  <c r="AC594"/>
  <c r="X594"/>
  <c r="AC593"/>
  <c r="X593"/>
  <c r="AC592"/>
  <c r="X592"/>
  <c r="AG591"/>
  <c r="AG590" s="1"/>
  <c r="AB591"/>
  <c r="AA591" s="1"/>
  <c r="AC589"/>
  <c r="X589"/>
  <c r="AC586"/>
  <c r="AC585"/>
  <c r="X585"/>
  <c r="AC584"/>
  <c r="X584"/>
  <c r="AC583"/>
  <c r="X583"/>
  <c r="AG582"/>
  <c r="AG581" s="1"/>
  <c r="AB582"/>
  <c r="AF581"/>
  <c r="AE581"/>
  <c r="AD581"/>
  <c r="AA581"/>
  <c r="Z581"/>
  <c r="Y581"/>
  <c r="AC577"/>
  <c r="AC575" s="1"/>
  <c r="AB577"/>
  <c r="X577" s="1"/>
  <c r="X575" s="1"/>
  <c r="AG575"/>
  <c r="AF575"/>
  <c r="AE575"/>
  <c r="AD575"/>
  <c r="AA575"/>
  <c r="Z575"/>
  <c r="Y575"/>
  <c r="X571"/>
  <c r="AC570"/>
  <c r="X570"/>
  <c r="AC569"/>
  <c r="X569"/>
  <c r="AC567"/>
  <c r="X567"/>
  <c r="AC566"/>
  <c r="X566"/>
  <c r="AC565"/>
  <c r="X565"/>
  <c r="AC564"/>
  <c r="X564"/>
  <c r="AC563"/>
  <c r="X563"/>
  <c r="AC562"/>
  <c r="X562"/>
  <c r="AC561"/>
  <c r="X561"/>
  <c r="AC560"/>
  <c r="X560"/>
  <c r="AC559"/>
  <c r="X559"/>
  <c r="AC558"/>
  <c r="X558"/>
  <c r="AC557"/>
  <c r="X557"/>
  <c r="AG556"/>
  <c r="AC556" s="1"/>
  <c r="AB556"/>
  <c r="X556" s="1"/>
  <c r="AC555"/>
  <c r="AC549"/>
  <c r="X549"/>
  <c r="AC548"/>
  <c r="X548"/>
  <c r="AC547"/>
  <c r="X547"/>
  <c r="AC546"/>
  <c r="X546"/>
  <c r="AC545"/>
  <c r="X545"/>
  <c r="AC544"/>
  <c r="X544"/>
  <c r="AG543"/>
  <c r="AC543" s="1"/>
  <c r="AB543"/>
  <c r="X543" s="1"/>
  <c r="AC542"/>
  <c r="X542"/>
  <c r="AC541"/>
  <c r="X541"/>
  <c r="AC540"/>
  <c r="X540"/>
  <c r="AC538"/>
  <c r="X538"/>
  <c r="AC537"/>
  <c r="X537"/>
  <c r="AC536"/>
  <c r="X536"/>
  <c r="AC535"/>
  <c r="X535"/>
  <c r="AC534"/>
  <c r="X534"/>
  <c r="AC532"/>
  <c r="AB532"/>
  <c r="X532" s="1"/>
  <c r="AC531"/>
  <c r="X531"/>
  <c r="AB529"/>
  <c r="X529" s="1"/>
  <c r="X528"/>
  <c r="X527"/>
  <c r="AC526"/>
  <c r="X526"/>
  <c r="AC525"/>
  <c r="X525"/>
  <c r="AC524"/>
  <c r="X524"/>
  <c r="AC523"/>
  <c r="X523"/>
  <c r="AC522"/>
  <c r="X522"/>
  <c r="AC521"/>
  <c r="X521"/>
  <c r="AC520"/>
  <c r="X520"/>
  <c r="AC519"/>
  <c r="X519"/>
  <c r="AC518"/>
  <c r="X518"/>
  <c r="AC516"/>
  <c r="X516"/>
  <c r="AC515"/>
  <c r="X515"/>
  <c r="AC513"/>
  <c r="X513"/>
  <c r="AC509"/>
  <c r="X509"/>
  <c r="AC508"/>
  <c r="AB508"/>
  <c r="X508" s="1"/>
  <c r="AC507"/>
  <c r="X507"/>
  <c r="AC502"/>
  <c r="X502"/>
  <c r="AC501"/>
  <c r="AB501"/>
  <c r="X501" s="1"/>
  <c r="AC500"/>
  <c r="X500"/>
  <c r="AC499"/>
  <c r="AB499"/>
  <c r="X499" s="1"/>
  <c r="AC498"/>
  <c r="X498"/>
  <c r="AC497"/>
  <c r="X497"/>
  <c r="AC495"/>
  <c r="X495"/>
  <c r="AC494"/>
  <c r="X494"/>
  <c r="AC493"/>
  <c r="X493"/>
  <c r="AC492"/>
  <c r="X492"/>
  <c r="AC490"/>
  <c r="AB490"/>
  <c r="X490" s="1"/>
  <c r="AC489"/>
  <c r="X489"/>
  <c r="AC488"/>
  <c r="X488"/>
  <c r="AC487"/>
  <c r="X487"/>
  <c r="AC486"/>
  <c r="X486"/>
  <c r="AC485"/>
  <c r="X485"/>
  <c r="AC484"/>
  <c r="X484"/>
  <c r="AC483"/>
  <c r="X483"/>
  <c r="AG482"/>
  <c r="AF482" s="1"/>
  <c r="AE482" s="1"/>
  <c r="AD482" s="1"/>
  <c r="AC482" s="1"/>
  <c r="AB482"/>
  <c r="AC480"/>
  <c r="X480"/>
  <c r="X479"/>
  <c r="AG478"/>
  <c r="AB478"/>
  <c r="AA478" s="1"/>
  <c r="AG473"/>
  <c r="AG472" s="1"/>
  <c r="X473"/>
  <c r="AF472"/>
  <c r="AE472"/>
  <c r="AD472"/>
  <c r="AB472"/>
  <c r="AA472"/>
  <c r="Z472"/>
  <c r="Y472"/>
  <c r="X472"/>
  <c r="AC471"/>
  <c r="AC469" s="1"/>
  <c r="X471"/>
  <c r="X469" s="1"/>
  <c r="AG469"/>
  <c r="AF469"/>
  <c r="AE469"/>
  <c r="AD469"/>
  <c r="AB469"/>
  <c r="AA469"/>
  <c r="Z469"/>
  <c r="Y469"/>
  <c r="AC467"/>
  <c r="X467"/>
  <c r="AC466"/>
  <c r="X466"/>
  <c r="AG465"/>
  <c r="AF465" s="1"/>
  <c r="AE465" s="1"/>
  <c r="AD465" s="1"/>
  <c r="AC465" s="1"/>
  <c r="AB465"/>
  <c r="AA465"/>
  <c r="Z465"/>
  <c r="Y465"/>
  <c r="AC464"/>
  <c r="AB464"/>
  <c r="X464" s="1"/>
  <c r="AC463"/>
  <c r="X463"/>
  <c r="AG462"/>
  <c r="AF462"/>
  <c r="AE462"/>
  <c r="AD462"/>
  <c r="AA462"/>
  <c r="Z462"/>
  <c r="Y462"/>
  <c r="X459"/>
  <c r="AC458"/>
  <c r="AB458"/>
  <c r="Z458"/>
  <c r="Z407" s="1"/>
  <c r="AC457"/>
  <c r="X457"/>
  <c r="AC456"/>
  <c r="X456"/>
  <c r="AC455"/>
  <c r="X455"/>
  <c r="AC452"/>
  <c r="AC451"/>
  <c r="AB451"/>
  <c r="X451" s="1"/>
  <c r="AC450"/>
  <c r="AC449"/>
  <c r="X449"/>
  <c r="AC448"/>
  <c r="X448"/>
  <c r="AC447"/>
  <c r="X447"/>
  <c r="AC445"/>
  <c r="X445"/>
  <c r="AC442"/>
  <c r="X442"/>
  <c r="AC440"/>
  <c r="X440"/>
  <c r="AC439"/>
  <c r="X439"/>
  <c r="AC438"/>
  <c r="X438"/>
  <c r="AC437"/>
  <c r="X437"/>
  <c r="AC436"/>
  <c r="X436"/>
  <c r="AC435"/>
  <c r="X435"/>
  <c r="AC434"/>
  <c r="X434"/>
  <c r="AC433"/>
  <c r="X433"/>
  <c r="AC432"/>
  <c r="X432"/>
  <c r="X427"/>
  <c r="X426"/>
  <c r="X425"/>
  <c r="X424"/>
  <c r="X423"/>
  <c r="X422"/>
  <c r="AC421"/>
  <c r="X421"/>
  <c r="X420"/>
  <c r="AC419"/>
  <c r="AG418"/>
  <c r="AC418" s="1"/>
  <c r="AB418"/>
  <c r="X418" s="1"/>
  <c r="AC416"/>
  <c r="AC415"/>
  <c r="X415"/>
  <c r="AC414"/>
  <c r="X414"/>
  <c r="AC413"/>
  <c r="X413"/>
  <c r="AC412"/>
  <c r="AB412"/>
  <c r="X412" s="1"/>
  <c r="AC410"/>
  <c r="AB410"/>
  <c r="X410" s="1"/>
  <c r="AC409"/>
  <c r="AB409"/>
  <c r="X409" s="1"/>
  <c r="AG408"/>
  <c r="AC408" s="1"/>
  <c r="AB408"/>
  <c r="X408" s="1"/>
  <c r="AF407"/>
  <c r="AE407"/>
  <c r="AD407"/>
  <c r="AA407"/>
  <c r="Y407"/>
  <c r="AC406"/>
  <c r="X406"/>
  <c r="AC403"/>
  <c r="AB403"/>
  <c r="X403" s="1"/>
  <c r="AG402"/>
  <c r="AC402" s="1"/>
  <c r="AB402"/>
  <c r="X402" s="1"/>
  <c r="AC401"/>
  <c r="AB401"/>
  <c r="X401" s="1"/>
  <c r="AC395"/>
  <c r="X395"/>
  <c r="AC394"/>
  <c r="AB394"/>
  <c r="X394" s="1"/>
  <c r="AC393"/>
  <c r="AC392"/>
  <c r="X392"/>
  <c r="AG391"/>
  <c r="AC391" s="1"/>
  <c r="X391"/>
  <c r="AC387"/>
  <c r="X387"/>
  <c r="AC386"/>
  <c r="X386"/>
  <c r="AB384"/>
  <c r="X384" s="1"/>
  <c r="Z383"/>
  <c r="X383" s="1"/>
  <c r="X382"/>
  <c r="X381"/>
  <c r="X380"/>
  <c r="X379"/>
  <c r="AB378"/>
  <c r="X378" s="1"/>
  <c r="X377"/>
  <c r="AC376"/>
  <c r="X376"/>
  <c r="X370"/>
  <c r="X369"/>
  <c r="X368"/>
  <c r="AC367"/>
  <c r="AB367"/>
  <c r="X367" s="1"/>
  <c r="AC366"/>
  <c r="X366"/>
  <c r="AC365"/>
  <c r="AB365"/>
  <c r="X365" s="1"/>
  <c r="AC364"/>
  <c r="AB364"/>
  <c r="X364" s="1"/>
  <c r="AG362"/>
  <c r="AF362" s="1"/>
  <c r="AB362"/>
  <c r="AA362" s="1"/>
  <c r="AA361" s="1"/>
  <c r="AC360"/>
  <c r="X360"/>
  <c r="AC359"/>
  <c r="X359"/>
  <c r="X358"/>
  <c r="X357"/>
  <c r="AC356"/>
  <c r="X356"/>
  <c r="AC355"/>
  <c r="AB355"/>
  <c r="X355" s="1"/>
  <c r="AC354"/>
  <c r="AC353"/>
  <c r="AB353"/>
  <c r="X353" s="1"/>
  <c r="AC352"/>
  <c r="AC349"/>
  <c r="X349"/>
  <c r="AG348"/>
  <c r="AF348"/>
  <c r="AE348"/>
  <c r="AD348"/>
  <c r="AA348"/>
  <c r="Z348"/>
  <c r="Y348"/>
  <c r="AC347"/>
  <c r="X347"/>
  <c r="AC346"/>
  <c r="AB346"/>
  <c r="X346" s="1"/>
  <c r="AC345"/>
  <c r="AC343"/>
  <c r="AC339"/>
  <c r="AB339"/>
  <c r="X339" s="1"/>
  <c r="AC338"/>
  <c r="X338"/>
  <c r="AC337"/>
  <c r="X337"/>
  <c r="AC336"/>
  <c r="AC335"/>
  <c r="AB335"/>
  <c r="X335" s="1"/>
  <c r="AG334"/>
  <c r="AF334"/>
  <c r="AE334"/>
  <c r="AD334"/>
  <c r="AA334"/>
  <c r="Z334"/>
  <c r="Y334"/>
  <c r="AC333"/>
  <c r="X333"/>
  <c r="AC331"/>
  <c r="X331"/>
  <c r="AC330"/>
  <c r="X330"/>
  <c r="AC329"/>
  <c r="X329"/>
  <c r="AC328"/>
  <c r="X328"/>
  <c r="AC327"/>
  <c r="X327"/>
  <c r="AC326"/>
  <c r="X326"/>
  <c r="AC325"/>
  <c r="X325"/>
  <c r="AG324"/>
  <c r="AF324"/>
  <c r="AE324"/>
  <c r="AD324"/>
  <c r="AB324"/>
  <c r="AA324"/>
  <c r="Z324"/>
  <c r="Y324"/>
  <c r="AC321"/>
  <c r="AC320"/>
  <c r="X320"/>
  <c r="AC319"/>
  <c r="AG318"/>
  <c r="AC318" s="1"/>
  <c r="AB318"/>
  <c r="X318" s="1"/>
  <c r="X311"/>
  <c r="X310"/>
  <c r="AC309"/>
  <c r="X309"/>
  <c r="AC308"/>
  <c r="X308"/>
  <c r="AC307"/>
  <c r="X307"/>
  <c r="AC306"/>
  <c r="X306"/>
  <c r="AC305"/>
  <c r="X305"/>
  <c r="AC304"/>
  <c r="X304"/>
  <c r="AC303"/>
  <c r="X303"/>
  <c r="AC302"/>
  <c r="X302"/>
  <c r="AG301"/>
  <c r="AC301" s="1"/>
  <c r="X301"/>
  <c r="AC299"/>
  <c r="X299"/>
  <c r="AC297"/>
  <c r="X297"/>
  <c r="AC294"/>
  <c r="AG293"/>
  <c r="AC293" s="1"/>
  <c r="AC292"/>
  <c r="AB292"/>
  <c r="X292" s="1"/>
  <c r="AC291"/>
  <c r="X291"/>
  <c r="AC290"/>
  <c r="X290"/>
  <c r="AC289"/>
  <c r="AB289"/>
  <c r="X289" s="1"/>
  <c r="AC288"/>
  <c r="X288"/>
  <c r="X287"/>
  <c r="X286"/>
  <c r="AF285"/>
  <c r="AE285"/>
  <c r="AD285"/>
  <c r="AA285"/>
  <c r="Z285"/>
  <c r="Y285"/>
  <c r="AC284"/>
  <c r="X284"/>
  <c r="AC282"/>
  <c r="X282"/>
  <c r="AC281"/>
  <c r="X281"/>
  <c r="AC280"/>
  <c r="X280"/>
  <c r="AC279"/>
  <c r="X279"/>
  <c r="AB278"/>
  <c r="X278" s="1"/>
  <c r="X277"/>
  <c r="X276"/>
  <c r="X275"/>
  <c r="X274"/>
  <c r="X273"/>
  <c r="X272"/>
  <c r="X271"/>
  <c r="X270"/>
  <c r="AB269"/>
  <c r="X269" s="1"/>
  <c r="X268"/>
  <c r="X267"/>
  <c r="AC266"/>
  <c r="AB266"/>
  <c r="X266" s="1"/>
  <c r="AC265"/>
  <c r="AB265"/>
  <c r="X265" s="1"/>
  <c r="AC264"/>
  <c r="AB264"/>
  <c r="X264" s="1"/>
  <c r="AC263"/>
  <c r="AB263"/>
  <c r="X263" s="1"/>
  <c r="AG262"/>
  <c r="AC262" s="1"/>
  <c r="X262"/>
  <c r="AC261"/>
  <c r="X261"/>
  <c r="AG260"/>
  <c r="AC260" s="1"/>
  <c r="AG259"/>
  <c r="AC259" s="1"/>
  <c r="AG258"/>
  <c r="X258"/>
  <c r="X257"/>
  <c r="Z256"/>
  <c r="Y256"/>
  <c r="AC255"/>
  <c r="X255"/>
  <c r="AC254"/>
  <c r="Z254"/>
  <c r="Y254"/>
  <c r="AC253"/>
  <c r="X253"/>
  <c r="AD252"/>
  <c r="AD210" s="1"/>
  <c r="Y252"/>
  <c r="X252" s="1"/>
  <c r="AC251"/>
  <c r="X251"/>
  <c r="AC250"/>
  <c r="X250"/>
  <c r="AC249"/>
  <c r="X249"/>
  <c r="AC248"/>
  <c r="X248"/>
  <c r="AC246"/>
  <c r="X246"/>
  <c r="AC245"/>
  <c r="X245"/>
  <c r="AC244"/>
  <c r="X244"/>
  <c r="AC243"/>
  <c r="X243"/>
  <c r="AC241"/>
  <c r="X241"/>
  <c r="AC238"/>
  <c r="X238"/>
  <c r="AC237"/>
  <c r="X237"/>
  <c r="AC236"/>
  <c r="X236"/>
  <c r="AC230"/>
  <c r="X230"/>
  <c r="AC229"/>
  <c r="X229"/>
  <c r="AC228"/>
  <c r="X228"/>
  <c r="AC227"/>
  <c r="X227"/>
  <c r="AC225"/>
  <c r="X225"/>
  <c r="AC224"/>
  <c r="X224"/>
  <c r="AC223"/>
  <c r="Y223"/>
  <c r="X223" s="1"/>
  <c r="AC222"/>
  <c r="X222"/>
  <c r="AC221"/>
  <c r="X221"/>
  <c r="AC220"/>
  <c r="X220"/>
  <c r="AC219"/>
  <c r="Y219"/>
  <c r="X219" s="1"/>
  <c r="AC218"/>
  <c r="X218"/>
  <c r="AC217"/>
  <c r="X217"/>
  <c r="AC215"/>
  <c r="X215"/>
  <c r="AC214"/>
  <c r="X214"/>
  <c r="AC212"/>
  <c r="Z212"/>
  <c r="X212" s="1"/>
  <c r="AC211"/>
  <c r="AB211"/>
  <c r="Z211"/>
  <c r="AF210"/>
  <c r="AE210"/>
  <c r="AA210"/>
  <c r="AC206"/>
  <c r="X206"/>
  <c r="AC205"/>
  <c r="X205"/>
  <c r="AC202"/>
  <c r="AB202"/>
  <c r="X202" s="1"/>
  <c r="AC201"/>
  <c r="AB201"/>
  <c r="X201" s="1"/>
  <c r="AC200"/>
  <c r="AB200"/>
  <c r="X200" s="1"/>
  <c r="AC199"/>
  <c r="AB199"/>
  <c r="X199" s="1"/>
  <c r="AC198"/>
  <c r="X198"/>
  <c r="AC197"/>
  <c r="X197"/>
  <c r="AC196"/>
  <c r="AB196"/>
  <c r="X196" s="1"/>
  <c r="AC195"/>
  <c r="AC194"/>
  <c r="X194"/>
  <c r="AC193"/>
  <c r="AB193"/>
  <c r="X193" s="1"/>
  <c r="AC192"/>
  <c r="AB192"/>
  <c r="X192" s="1"/>
  <c r="AC191"/>
  <c r="AC190"/>
  <c r="AB190"/>
  <c r="X190" s="1"/>
  <c r="AC189"/>
  <c r="X189"/>
  <c r="AC185"/>
  <c r="X185"/>
  <c r="AC184"/>
  <c r="X184"/>
  <c r="AC183"/>
  <c r="X183"/>
  <c r="AC182"/>
  <c r="X182"/>
  <c r="AC181"/>
  <c r="X181"/>
  <c r="AC180"/>
  <c r="X180"/>
  <c r="AG179"/>
  <c r="AG178" s="1"/>
  <c r="AB179"/>
  <c r="AC177"/>
  <c r="X177"/>
  <c r="AC176"/>
  <c r="X176"/>
  <c r="AC175"/>
  <c r="X175"/>
  <c r="AC174"/>
  <c r="X174"/>
  <c r="AC173"/>
  <c r="X173"/>
  <c r="AC170"/>
  <c r="X170"/>
  <c r="AG169"/>
  <c r="AF169"/>
  <c r="AE169"/>
  <c r="AD169"/>
  <c r="AB169"/>
  <c r="AA169"/>
  <c r="Z169"/>
  <c r="Y169"/>
  <c r="AG168"/>
  <c r="AC168" s="1"/>
  <c r="AB168"/>
  <c r="X168" s="1"/>
  <c r="X164"/>
  <c r="AC163"/>
  <c r="X163"/>
  <c r="AC162"/>
  <c r="AB162"/>
  <c r="X162" s="1"/>
  <c r="AC161"/>
  <c r="X161"/>
  <c r="AC159"/>
  <c r="X159"/>
  <c r="AC158"/>
  <c r="AC157"/>
  <c r="AB157"/>
  <c r="AF156"/>
  <c r="AE156"/>
  <c r="AD156"/>
  <c r="AA156"/>
  <c r="Z156"/>
  <c r="Y156"/>
  <c r="AC155"/>
  <c r="X155"/>
  <c r="AC154"/>
  <c r="X154"/>
  <c r="AG153"/>
  <c r="AC153" s="1"/>
  <c r="AB153"/>
  <c r="X153" s="1"/>
  <c r="AG152"/>
  <c r="AF152"/>
  <c r="AE152"/>
  <c r="AD152"/>
  <c r="AB152"/>
  <c r="AA152"/>
  <c r="Z152"/>
  <c r="Y152"/>
  <c r="AC151"/>
  <c r="X151"/>
  <c r="AC150"/>
  <c r="X150"/>
  <c r="AC149"/>
  <c r="X149"/>
  <c r="AC148"/>
  <c r="X148"/>
  <c r="X147"/>
  <c r="X146"/>
  <c r="AB145"/>
  <c r="X144"/>
  <c r="X143"/>
  <c r="X142"/>
  <c r="X141"/>
  <c r="X140"/>
  <c r="X139"/>
  <c r="AC138"/>
  <c r="AC137"/>
  <c r="X137"/>
  <c r="AC136"/>
  <c r="AC135"/>
  <c r="X135"/>
  <c r="AC134"/>
  <c r="X134"/>
  <c r="AC133"/>
  <c r="X133"/>
  <c r="AC132"/>
  <c r="X132"/>
  <c r="AC131"/>
  <c r="X131"/>
  <c r="AC129"/>
  <c r="X129"/>
  <c r="X125"/>
  <c r="AG107"/>
  <c r="AF107"/>
  <c r="AE107"/>
  <c r="AD107"/>
  <c r="AA107"/>
  <c r="Z107"/>
  <c r="Y107"/>
  <c r="AC106"/>
  <c r="X106"/>
  <c r="AC105"/>
  <c r="X105"/>
  <c r="AC104"/>
  <c r="X104"/>
  <c r="AC103"/>
  <c r="X103"/>
  <c r="AC102"/>
  <c r="X102"/>
  <c r="AC101"/>
  <c r="AB101"/>
  <c r="X101" s="1"/>
  <c r="AC100"/>
  <c r="X100"/>
  <c r="AC99"/>
  <c r="X99"/>
  <c r="AC98"/>
  <c r="X98"/>
  <c r="AC97"/>
  <c r="X97"/>
  <c r="AC96"/>
  <c r="X96"/>
  <c r="AC95"/>
  <c r="X95"/>
  <c r="AC94"/>
  <c r="X94"/>
  <c r="AC93"/>
  <c r="X93"/>
  <c r="AC92"/>
  <c r="X92"/>
  <c r="Z90"/>
  <c r="X90" s="1"/>
  <c r="AC89"/>
  <c r="Z89"/>
  <c r="X89" s="1"/>
  <c r="AC88"/>
  <c r="X88"/>
  <c r="AC87"/>
  <c r="X87"/>
  <c r="AC86"/>
  <c r="X86"/>
  <c r="AC85"/>
  <c r="X85"/>
  <c r="AC84"/>
  <c r="X84"/>
  <c r="AC83"/>
  <c r="X83"/>
  <c r="X82"/>
  <c r="AB81"/>
  <c r="X81" s="1"/>
  <c r="X80"/>
  <c r="AC79"/>
  <c r="X79"/>
  <c r="AC78"/>
  <c r="AB78"/>
  <c r="X78" s="1"/>
  <c r="AC77"/>
  <c r="AB77"/>
  <c r="X77" s="1"/>
  <c r="AC76"/>
  <c r="AC75"/>
  <c r="X75"/>
  <c r="AC73"/>
  <c r="AB73"/>
  <c r="X73" s="1"/>
  <c r="AC70"/>
  <c r="X70"/>
  <c r="AC69"/>
  <c r="X69"/>
  <c r="AC68"/>
  <c r="X68"/>
  <c r="AC67"/>
  <c r="X67"/>
  <c r="AC66"/>
  <c r="Z66"/>
  <c r="X66" s="1"/>
  <c r="AG65"/>
  <c r="AF65"/>
  <c r="AE65"/>
  <c r="AD65"/>
  <c r="AA65"/>
  <c r="Y65"/>
  <c r="AB62"/>
  <c r="X62" s="1"/>
  <c r="X61"/>
  <c r="X60"/>
  <c r="X59"/>
  <c r="X58"/>
  <c r="X57"/>
  <c r="X56"/>
  <c r="X55"/>
  <c r="X54"/>
  <c r="X53"/>
  <c r="X52"/>
  <c r="X51"/>
  <c r="X50"/>
  <c r="AC49"/>
  <c r="AB49"/>
  <c r="X49" s="1"/>
  <c r="AB48"/>
  <c r="X48" s="1"/>
  <c r="AB47"/>
  <c r="X47" s="1"/>
  <c r="X46"/>
  <c r="X45"/>
  <c r="AC44"/>
  <c r="X44"/>
  <c r="AC38"/>
  <c r="X38"/>
  <c r="AG37"/>
  <c r="AF37"/>
  <c r="AE37"/>
  <c r="AD37"/>
  <c r="AA37"/>
  <c r="Z37"/>
  <c r="Y37"/>
  <c r="AC36"/>
  <c r="AB36"/>
  <c r="X36" s="1"/>
  <c r="AC35"/>
  <c r="X35"/>
  <c r="AG34"/>
  <c r="AC34" s="1"/>
  <c r="AB34"/>
  <c r="X34" s="1"/>
  <c r="X33"/>
  <c r="AC32"/>
  <c r="AB32"/>
  <c r="X32" s="1"/>
  <c r="X31"/>
  <c r="AC30"/>
  <c r="AB30"/>
  <c r="X30" s="1"/>
  <c r="AC29"/>
  <c r="X29"/>
  <c r="Z28"/>
  <c r="X28" s="1"/>
  <c r="AB27"/>
  <c r="X27" s="1"/>
  <c r="X26"/>
  <c r="X25"/>
  <c r="AC24"/>
  <c r="AB24"/>
  <c r="X24" s="1"/>
  <c r="AC22"/>
  <c r="X22"/>
  <c r="AG21"/>
  <c r="AC21" s="1"/>
  <c r="AB21"/>
  <c r="X21" s="1"/>
  <c r="AC20"/>
  <c r="AB20"/>
  <c r="X20" s="1"/>
  <c r="AG19"/>
  <c r="AC19" s="1"/>
  <c r="AB19"/>
  <c r="AF18"/>
  <c r="AE18"/>
  <c r="AD18"/>
  <c r="AA18"/>
  <c r="Y18"/>
  <c r="W888"/>
  <c r="V888"/>
  <c r="S888"/>
  <c r="R888"/>
  <c r="N883"/>
  <c r="R877"/>
  <c r="N877" s="1"/>
  <c r="O877"/>
  <c r="R876"/>
  <c r="N876" s="1"/>
  <c r="O876"/>
  <c r="O875"/>
  <c r="N875"/>
  <c r="R874"/>
  <c r="N874" s="1"/>
  <c r="O874"/>
  <c r="O873"/>
  <c r="N873"/>
  <c r="V872"/>
  <c r="T872"/>
  <c r="S872"/>
  <c r="Q872"/>
  <c r="P872"/>
  <c r="R871"/>
  <c r="N871" s="1"/>
  <c r="O871"/>
  <c r="O870"/>
  <c r="N870"/>
  <c r="R869"/>
  <c r="N869" s="1"/>
  <c r="O869"/>
  <c r="O868"/>
  <c r="N868"/>
  <c r="R867"/>
  <c r="N867" s="1"/>
  <c r="O867"/>
  <c r="O866"/>
  <c r="N866"/>
  <c r="R865"/>
  <c r="O865"/>
  <c r="O864"/>
  <c r="N864"/>
  <c r="R863"/>
  <c r="N863" s="1"/>
  <c r="O863"/>
  <c r="V862"/>
  <c r="T862"/>
  <c r="S862"/>
  <c r="Q862"/>
  <c r="P862"/>
  <c r="R861"/>
  <c r="N861" s="1"/>
  <c r="O861"/>
  <c r="O860"/>
  <c r="N860"/>
  <c r="O859"/>
  <c r="R858"/>
  <c r="N858" s="1"/>
  <c r="O858"/>
  <c r="O857"/>
  <c r="N857"/>
  <c r="O856"/>
  <c r="R855"/>
  <c r="N855" s="1"/>
  <c r="O855"/>
  <c r="O854"/>
  <c r="O853"/>
  <c r="N853"/>
  <c r="O852"/>
  <c r="N852"/>
  <c r="R851"/>
  <c r="N851" s="1"/>
  <c r="O851"/>
  <c r="R850"/>
  <c r="N850" s="1"/>
  <c r="O850"/>
  <c r="O849"/>
  <c r="N849"/>
  <c r="R848"/>
  <c r="N848" s="1"/>
  <c r="O848"/>
  <c r="O847"/>
  <c r="N847"/>
  <c r="O846"/>
  <c r="N846"/>
  <c r="V845"/>
  <c r="T845"/>
  <c r="S845"/>
  <c r="Q845"/>
  <c r="P845"/>
  <c r="O835"/>
  <c r="N835"/>
  <c r="O834"/>
  <c r="N834"/>
  <c r="V833"/>
  <c r="T833"/>
  <c r="S833"/>
  <c r="R833"/>
  <c r="Q833"/>
  <c r="P833"/>
  <c r="R832"/>
  <c r="N832" s="1"/>
  <c r="O832"/>
  <c r="O831"/>
  <c r="N831"/>
  <c r="V830"/>
  <c r="T830"/>
  <c r="S830"/>
  <c r="Q830"/>
  <c r="P830"/>
  <c r="R828"/>
  <c r="N828" s="1"/>
  <c r="O828"/>
  <c r="R827"/>
  <c r="N827" s="1"/>
  <c r="O827"/>
  <c r="R826"/>
  <c r="N826" s="1"/>
  <c r="O826"/>
  <c r="R825"/>
  <c r="N825" s="1"/>
  <c r="O825"/>
  <c r="R824"/>
  <c r="N824" s="1"/>
  <c r="O824"/>
  <c r="R823"/>
  <c r="N823" s="1"/>
  <c r="O823"/>
  <c r="O822"/>
  <c r="N822"/>
  <c r="V821"/>
  <c r="T821"/>
  <c r="S821"/>
  <c r="Q821"/>
  <c r="P821"/>
  <c r="O820"/>
  <c r="N820"/>
  <c r="R819"/>
  <c r="N819" s="1"/>
  <c r="O819"/>
  <c r="R818"/>
  <c r="N818" s="1"/>
  <c r="O818"/>
  <c r="R817"/>
  <c r="N817" s="1"/>
  <c r="O817"/>
  <c r="V816"/>
  <c r="T816"/>
  <c r="S816"/>
  <c r="Q816"/>
  <c r="P816"/>
  <c r="R815"/>
  <c r="N815" s="1"/>
  <c r="O815"/>
  <c r="O814"/>
  <c r="N814"/>
  <c r="R813"/>
  <c r="N813" s="1"/>
  <c r="O813"/>
  <c r="V812"/>
  <c r="T812"/>
  <c r="S812"/>
  <c r="Q812"/>
  <c r="P812"/>
  <c r="N811"/>
  <c r="N810" s="1"/>
  <c r="V810"/>
  <c r="T810"/>
  <c r="R810"/>
  <c r="P810"/>
  <c r="N809"/>
  <c r="R808"/>
  <c r="P808"/>
  <c r="R806"/>
  <c r="N806" s="1"/>
  <c r="O806"/>
  <c r="O805" s="1"/>
  <c r="V805"/>
  <c r="T805"/>
  <c r="S805"/>
  <c r="Q805"/>
  <c r="R804"/>
  <c r="N804" s="1"/>
  <c r="O804"/>
  <c r="O803"/>
  <c r="N803"/>
  <c r="R802"/>
  <c r="N802" s="1"/>
  <c r="O802"/>
  <c r="O801"/>
  <c r="N801"/>
  <c r="R800"/>
  <c r="N800" s="1"/>
  <c r="O800"/>
  <c r="O799"/>
  <c r="N799"/>
  <c r="R798"/>
  <c r="N798" s="1"/>
  <c r="O798"/>
  <c r="R797"/>
  <c r="O797"/>
  <c r="O796"/>
  <c r="N796"/>
  <c r="V795"/>
  <c r="U795"/>
  <c r="T795"/>
  <c r="S795"/>
  <c r="Q795"/>
  <c r="P795"/>
  <c r="O794"/>
  <c r="N794"/>
  <c r="O793"/>
  <c r="N793"/>
  <c r="R792"/>
  <c r="N792" s="1"/>
  <c r="O792"/>
  <c r="O791"/>
  <c r="N791"/>
  <c r="O790"/>
  <c r="N790"/>
  <c r="O789"/>
  <c r="N789"/>
  <c r="O788"/>
  <c r="N788"/>
  <c r="R787"/>
  <c r="N787" s="1"/>
  <c r="O787"/>
  <c r="R786"/>
  <c r="N786" s="1"/>
  <c r="O786"/>
  <c r="O785"/>
  <c r="N785"/>
  <c r="O784"/>
  <c r="N784"/>
  <c r="O783"/>
  <c r="N783"/>
  <c r="O782"/>
  <c r="N782"/>
  <c r="R781"/>
  <c r="N781" s="1"/>
  <c r="O781"/>
  <c r="O780"/>
  <c r="N780"/>
  <c r="R779"/>
  <c r="N779" s="1"/>
  <c r="O779"/>
  <c r="R778"/>
  <c r="N778" s="1"/>
  <c r="O778"/>
  <c r="O777"/>
  <c r="N777"/>
  <c r="O776"/>
  <c r="N776"/>
  <c r="W775"/>
  <c r="V775"/>
  <c r="U775"/>
  <c r="T775"/>
  <c r="S775"/>
  <c r="Q775"/>
  <c r="P775"/>
  <c r="O769"/>
  <c r="N769"/>
  <c r="O768"/>
  <c r="N768"/>
  <c r="O767"/>
  <c r="N767"/>
  <c r="W766"/>
  <c r="V766"/>
  <c r="U766"/>
  <c r="T766"/>
  <c r="S766"/>
  <c r="R766"/>
  <c r="Q766"/>
  <c r="P766"/>
  <c r="O765"/>
  <c r="O764" s="1"/>
  <c r="N765"/>
  <c r="N764" s="1"/>
  <c r="V764"/>
  <c r="U764"/>
  <c r="T764"/>
  <c r="S764"/>
  <c r="R764"/>
  <c r="Q764"/>
  <c r="P764"/>
  <c r="O755"/>
  <c r="N755"/>
  <c r="O754"/>
  <c r="N754"/>
  <c r="O753"/>
  <c r="N753"/>
  <c r="O752"/>
  <c r="N752"/>
  <c r="O751"/>
  <c r="N751"/>
  <c r="O750"/>
  <c r="N750"/>
  <c r="W749"/>
  <c r="W747" s="1"/>
  <c r="W734" s="1"/>
  <c r="V749"/>
  <c r="V747" s="1"/>
  <c r="V734" s="1"/>
  <c r="U749"/>
  <c r="U747" s="1"/>
  <c r="U734" s="1"/>
  <c r="T749"/>
  <c r="T747" s="1"/>
  <c r="T734" s="1"/>
  <c r="S749"/>
  <c r="S747" s="1"/>
  <c r="S734" s="1"/>
  <c r="R749"/>
  <c r="R747" s="1"/>
  <c r="R734" s="1"/>
  <c r="Q749"/>
  <c r="Q747" s="1"/>
  <c r="Q734" s="1"/>
  <c r="P749"/>
  <c r="P747" s="1"/>
  <c r="P734" s="1"/>
  <c r="N741"/>
  <c r="N739" s="1"/>
  <c r="V739"/>
  <c r="T739"/>
  <c r="R739"/>
  <c r="P739"/>
  <c r="R731"/>
  <c r="O731"/>
  <c r="R730"/>
  <c r="N730" s="1"/>
  <c r="O730"/>
  <c r="O729"/>
  <c r="N729"/>
  <c r="O728"/>
  <c r="N728"/>
  <c r="O727"/>
  <c r="N727"/>
  <c r="O726"/>
  <c r="N726"/>
  <c r="W725"/>
  <c r="V725"/>
  <c r="U725"/>
  <c r="T725"/>
  <c r="S725"/>
  <c r="Q725"/>
  <c r="P725"/>
  <c r="V724"/>
  <c r="R724"/>
  <c r="P724"/>
  <c r="O724"/>
  <c r="V723"/>
  <c r="R723"/>
  <c r="Q723"/>
  <c r="O723" s="1"/>
  <c r="P723"/>
  <c r="V722"/>
  <c r="R722"/>
  <c r="P722"/>
  <c r="O722"/>
  <c r="W721"/>
  <c r="U721"/>
  <c r="T721"/>
  <c r="S721"/>
  <c r="V720"/>
  <c r="N720" s="1"/>
  <c r="O720"/>
  <c r="V719"/>
  <c r="N719" s="1"/>
  <c r="O719"/>
  <c r="W718"/>
  <c r="U718"/>
  <c r="T718"/>
  <c r="S718"/>
  <c r="R718"/>
  <c r="Q718"/>
  <c r="P718"/>
  <c r="O715"/>
  <c r="O714" s="1"/>
  <c r="N715"/>
  <c r="N714" s="1"/>
  <c r="W714"/>
  <c r="V714"/>
  <c r="U714"/>
  <c r="T714"/>
  <c r="S714"/>
  <c r="R714"/>
  <c r="Q714"/>
  <c r="P714"/>
  <c r="V713"/>
  <c r="N713" s="1"/>
  <c r="O713"/>
  <c r="W711"/>
  <c r="O711" s="1"/>
  <c r="V711"/>
  <c r="N711" s="1"/>
  <c r="O710"/>
  <c r="V709"/>
  <c r="N709" s="1"/>
  <c r="O709"/>
  <c r="O708"/>
  <c r="N708"/>
  <c r="O707"/>
  <c r="N707"/>
  <c r="O706"/>
  <c r="N706"/>
  <c r="O705"/>
  <c r="N705"/>
  <c r="O704"/>
  <c r="O703"/>
  <c r="V702"/>
  <c r="N702" s="1"/>
  <c r="O702"/>
  <c r="V701"/>
  <c r="N701" s="1"/>
  <c r="O701"/>
  <c r="O700"/>
  <c r="N700"/>
  <c r="V699"/>
  <c r="N699" s="1"/>
  <c r="O699"/>
  <c r="W698"/>
  <c r="O698" s="1"/>
  <c r="V698"/>
  <c r="N698" s="1"/>
  <c r="O697"/>
  <c r="N697"/>
  <c r="O696"/>
  <c r="N696"/>
  <c r="V695"/>
  <c r="N695" s="1"/>
  <c r="O695"/>
  <c r="W694"/>
  <c r="O694" s="1"/>
  <c r="V694"/>
  <c r="N694" s="1"/>
  <c r="O693"/>
  <c r="O692"/>
  <c r="N692"/>
  <c r="O691"/>
  <c r="N691"/>
  <c r="U690"/>
  <c r="T690"/>
  <c r="S690"/>
  <c r="R690"/>
  <c r="Q690"/>
  <c r="P690"/>
  <c r="O689"/>
  <c r="O688" s="1"/>
  <c r="N689"/>
  <c r="N688" s="1"/>
  <c r="W688"/>
  <c r="V688"/>
  <c r="U688"/>
  <c r="T688"/>
  <c r="S688"/>
  <c r="R688"/>
  <c r="Q688"/>
  <c r="P688"/>
  <c r="W686"/>
  <c r="O686" s="1"/>
  <c r="V686"/>
  <c r="N686" s="1"/>
  <c r="W685"/>
  <c r="O685" s="1"/>
  <c r="V685"/>
  <c r="N685" s="1"/>
  <c r="O684"/>
  <c r="W683"/>
  <c r="O683" s="1"/>
  <c r="V683"/>
  <c r="N683" s="1"/>
  <c r="W681"/>
  <c r="O681" s="1"/>
  <c r="V681"/>
  <c r="N681" s="1"/>
  <c r="W679"/>
  <c r="O679" s="1"/>
  <c r="V679"/>
  <c r="N679" s="1"/>
  <c r="W678"/>
  <c r="O678" s="1"/>
  <c r="V678"/>
  <c r="N678" s="1"/>
  <c r="W676"/>
  <c r="O676" s="1"/>
  <c r="V676"/>
  <c r="N676" s="1"/>
  <c r="W674"/>
  <c r="O674" s="1"/>
  <c r="V674"/>
  <c r="N674" s="1"/>
  <c r="W673"/>
  <c r="O673" s="1"/>
  <c r="V673"/>
  <c r="N673" s="1"/>
  <c r="W672"/>
  <c r="O672" s="1"/>
  <c r="V672"/>
  <c r="N672" s="1"/>
  <c r="W671"/>
  <c r="O671" s="1"/>
  <c r="V671"/>
  <c r="N671" s="1"/>
  <c r="O670"/>
  <c r="O667"/>
  <c r="O666"/>
  <c r="N666"/>
  <c r="W664"/>
  <c r="O664" s="1"/>
  <c r="V664"/>
  <c r="N664" s="1"/>
  <c r="W663"/>
  <c r="O663" s="1"/>
  <c r="V663"/>
  <c r="N663" s="1"/>
  <c r="W662"/>
  <c r="O662" s="1"/>
  <c r="V662"/>
  <c r="N662" s="1"/>
  <c r="U661"/>
  <c r="T661"/>
  <c r="S661"/>
  <c r="R661"/>
  <c r="Q661"/>
  <c r="P661"/>
  <c r="W660"/>
  <c r="O660" s="1"/>
  <c r="V660"/>
  <c r="N660" s="1"/>
  <c r="O659"/>
  <c r="N659"/>
  <c r="O658"/>
  <c r="V657"/>
  <c r="N657" s="1"/>
  <c r="O657"/>
  <c r="W656"/>
  <c r="O656" s="1"/>
  <c r="V656"/>
  <c r="N656" s="1"/>
  <c r="O655"/>
  <c r="O654"/>
  <c r="W653"/>
  <c r="O653" s="1"/>
  <c r="V653"/>
  <c r="N653" s="1"/>
  <c r="O652"/>
  <c r="N652"/>
  <c r="V651"/>
  <c r="N651" s="1"/>
  <c r="O651"/>
  <c r="W650"/>
  <c r="O650" s="1"/>
  <c r="V650"/>
  <c r="N650" s="1"/>
  <c r="O648"/>
  <c r="O647"/>
  <c r="N647"/>
  <c r="W646"/>
  <c r="O646" s="1"/>
  <c r="V646"/>
  <c r="N646" s="1"/>
  <c r="O645"/>
  <c r="N645"/>
  <c r="O644"/>
  <c r="W643"/>
  <c r="O643" s="1"/>
  <c r="V643"/>
  <c r="N643" s="1"/>
  <c r="O642"/>
  <c r="N642"/>
  <c r="W641"/>
  <c r="O641" s="1"/>
  <c r="V641"/>
  <c r="N641" s="1"/>
  <c r="W640"/>
  <c r="O640" s="1"/>
  <c r="V640"/>
  <c r="N640" s="1"/>
  <c r="V639"/>
  <c r="N639" s="1"/>
  <c r="O639"/>
  <c r="O638"/>
  <c r="O637"/>
  <c r="O636"/>
  <c r="O635"/>
  <c r="W634"/>
  <c r="O634" s="1"/>
  <c r="V634"/>
  <c r="N634" s="1"/>
  <c r="V633"/>
  <c r="N633" s="1"/>
  <c r="O633"/>
  <c r="V632"/>
  <c r="N632" s="1"/>
  <c r="O632"/>
  <c r="V631"/>
  <c r="N631" s="1"/>
  <c r="O631"/>
  <c r="V630"/>
  <c r="N630" s="1"/>
  <c r="O630"/>
  <c r="V629"/>
  <c r="N629" s="1"/>
  <c r="O629"/>
  <c r="W628"/>
  <c r="O628" s="1"/>
  <c r="V628"/>
  <c r="N628" s="1"/>
  <c r="W627"/>
  <c r="O627" s="1"/>
  <c r="V627"/>
  <c r="N627" s="1"/>
  <c r="O626"/>
  <c r="O622"/>
  <c r="N622"/>
  <c r="W621"/>
  <c r="O621" s="1"/>
  <c r="V621"/>
  <c r="N621" s="1"/>
  <c r="W620"/>
  <c r="O620" s="1"/>
  <c r="V620"/>
  <c r="N620" s="1"/>
  <c r="O619"/>
  <c r="V618"/>
  <c r="N618" s="1"/>
  <c r="O618"/>
  <c r="V617"/>
  <c r="N617" s="1"/>
  <c r="O617"/>
  <c r="W616"/>
  <c r="O616" s="1"/>
  <c r="V616"/>
  <c r="N616" s="1"/>
  <c r="U615"/>
  <c r="T615"/>
  <c r="S615"/>
  <c r="R615"/>
  <c r="Q615"/>
  <c r="P615"/>
  <c r="V611"/>
  <c r="N611" s="1"/>
  <c r="N610" s="1"/>
  <c r="O611"/>
  <c r="O610" s="1"/>
  <c r="W610"/>
  <c r="U610"/>
  <c r="T610"/>
  <c r="S610"/>
  <c r="R610"/>
  <c r="Q610"/>
  <c r="P610"/>
  <c r="O608"/>
  <c r="N608"/>
  <c r="O607"/>
  <c r="N607"/>
  <c r="O606"/>
  <c r="N606"/>
  <c r="O605"/>
  <c r="O604"/>
  <c r="N604"/>
  <c r="O603"/>
  <c r="N603"/>
  <c r="O602"/>
  <c r="O601"/>
  <c r="N601"/>
  <c r="W600"/>
  <c r="O600" s="1"/>
  <c r="V600"/>
  <c r="N600" s="1"/>
  <c r="V599"/>
  <c r="N599" s="1"/>
  <c r="O599"/>
  <c r="V598"/>
  <c r="N598" s="1"/>
  <c r="O598"/>
  <c r="V597"/>
  <c r="N597" s="1"/>
  <c r="O597"/>
  <c r="O596"/>
  <c r="O595"/>
  <c r="N595"/>
  <c r="O594"/>
  <c r="N594"/>
  <c r="O593"/>
  <c r="N593"/>
  <c r="O592"/>
  <c r="N592"/>
  <c r="V591"/>
  <c r="T591" s="1"/>
  <c r="O591"/>
  <c r="U590"/>
  <c r="S590"/>
  <c r="R590"/>
  <c r="Q590"/>
  <c r="P590"/>
  <c r="V589"/>
  <c r="V581" s="1"/>
  <c r="O589"/>
  <c r="O588"/>
  <c r="O587"/>
  <c r="N587"/>
  <c r="O586"/>
  <c r="N586"/>
  <c r="O585"/>
  <c r="N585"/>
  <c r="O584"/>
  <c r="N584"/>
  <c r="O583"/>
  <c r="N583"/>
  <c r="O582"/>
  <c r="N582"/>
  <c r="W581"/>
  <c r="U581"/>
  <c r="T581"/>
  <c r="S581"/>
  <c r="R581"/>
  <c r="Q581"/>
  <c r="P581"/>
  <c r="V575"/>
  <c r="T575"/>
  <c r="R575"/>
  <c r="P575"/>
  <c r="N575"/>
  <c r="O573"/>
  <c r="O572"/>
  <c r="O571"/>
  <c r="O570"/>
  <c r="N570"/>
  <c r="O569"/>
  <c r="N569"/>
  <c r="O568"/>
  <c r="O567"/>
  <c r="N567"/>
  <c r="O566"/>
  <c r="N566"/>
  <c r="O565"/>
  <c r="N565"/>
  <c r="O564"/>
  <c r="N564"/>
  <c r="O563"/>
  <c r="N563"/>
  <c r="O562"/>
  <c r="N562"/>
  <c r="O561"/>
  <c r="N561"/>
  <c r="O560"/>
  <c r="N560"/>
  <c r="O559"/>
  <c r="N559"/>
  <c r="O558"/>
  <c r="N558"/>
  <c r="V557"/>
  <c r="N557" s="1"/>
  <c r="O557"/>
  <c r="V556"/>
  <c r="N556" s="1"/>
  <c r="O556"/>
  <c r="V555"/>
  <c r="N555" s="1"/>
  <c r="O555"/>
  <c r="O554"/>
  <c r="O553"/>
  <c r="O552"/>
  <c r="O551"/>
  <c r="O550"/>
  <c r="O549"/>
  <c r="N549"/>
  <c r="O548"/>
  <c r="N548"/>
  <c r="O547"/>
  <c r="N547"/>
  <c r="O546"/>
  <c r="N546"/>
  <c r="O545"/>
  <c r="N545"/>
  <c r="O544"/>
  <c r="N544"/>
  <c r="V543"/>
  <c r="N543" s="1"/>
  <c r="O543"/>
  <c r="O542"/>
  <c r="N542"/>
  <c r="O541"/>
  <c r="N541"/>
  <c r="O540"/>
  <c r="N540"/>
  <c r="O539"/>
  <c r="O538"/>
  <c r="N538"/>
  <c r="O537"/>
  <c r="N537"/>
  <c r="O536"/>
  <c r="N536"/>
  <c r="O535"/>
  <c r="N535"/>
  <c r="O534"/>
  <c r="N534"/>
  <c r="O533"/>
  <c r="N533"/>
  <c r="V532"/>
  <c r="N532" s="1"/>
  <c r="O532"/>
  <c r="O531"/>
  <c r="N531"/>
  <c r="O530"/>
  <c r="N530"/>
  <c r="W529"/>
  <c r="O529" s="1"/>
  <c r="V529"/>
  <c r="N529" s="1"/>
  <c r="O528"/>
  <c r="N528"/>
  <c r="O527"/>
  <c r="N527"/>
  <c r="O526"/>
  <c r="N526"/>
  <c r="O525"/>
  <c r="N525"/>
  <c r="O524"/>
  <c r="N524"/>
  <c r="O523"/>
  <c r="N523"/>
  <c r="O522"/>
  <c r="N522"/>
  <c r="O521"/>
  <c r="N521"/>
  <c r="O520"/>
  <c r="N520"/>
  <c r="O519"/>
  <c r="N519"/>
  <c r="O518"/>
  <c r="N518"/>
  <c r="O517"/>
  <c r="N517"/>
  <c r="O516"/>
  <c r="N516"/>
  <c r="O515"/>
  <c r="N515"/>
  <c r="O514"/>
  <c r="N514"/>
  <c r="O513"/>
  <c r="N513"/>
  <c r="O512"/>
  <c r="O511"/>
  <c r="O510"/>
  <c r="V509"/>
  <c r="N509" s="1"/>
  <c r="O509"/>
  <c r="V508"/>
  <c r="N508" s="1"/>
  <c r="O508"/>
  <c r="O507"/>
  <c r="N507"/>
  <c r="O506"/>
  <c r="O505"/>
  <c r="O504"/>
  <c r="O503"/>
  <c r="O502"/>
  <c r="N502"/>
  <c r="V501"/>
  <c r="N501" s="1"/>
  <c r="O501"/>
  <c r="O500"/>
  <c r="N500"/>
  <c r="V499"/>
  <c r="N499" s="1"/>
  <c r="O499"/>
  <c r="O498"/>
  <c r="N498"/>
  <c r="O497"/>
  <c r="N497"/>
  <c r="O496"/>
  <c r="N496"/>
  <c r="O495"/>
  <c r="N495"/>
  <c r="O494"/>
  <c r="N494"/>
  <c r="O493"/>
  <c r="N493"/>
  <c r="O492"/>
  <c r="N492"/>
  <c r="O491"/>
  <c r="V490"/>
  <c r="N490" s="1"/>
  <c r="O490"/>
  <c r="O489"/>
  <c r="N489"/>
  <c r="O488"/>
  <c r="N488"/>
  <c r="O487"/>
  <c r="N487"/>
  <c r="O486"/>
  <c r="N486"/>
  <c r="O485"/>
  <c r="N485"/>
  <c r="O484"/>
  <c r="N484"/>
  <c r="O483"/>
  <c r="N483"/>
  <c r="V482"/>
  <c r="T482" s="1"/>
  <c r="R482" s="1"/>
  <c r="P482" s="1"/>
  <c r="N482" s="1"/>
  <c r="O482"/>
  <c r="O481"/>
  <c r="O480"/>
  <c r="N480"/>
  <c r="O479"/>
  <c r="N479"/>
  <c r="V478"/>
  <c r="T478" s="1"/>
  <c r="O478"/>
  <c r="U477"/>
  <c r="S477"/>
  <c r="Q477"/>
  <c r="V473"/>
  <c r="N473" s="1"/>
  <c r="N472" s="1"/>
  <c r="O473"/>
  <c r="O472" s="1"/>
  <c r="W472"/>
  <c r="U472"/>
  <c r="T472"/>
  <c r="S472"/>
  <c r="R472"/>
  <c r="Q472"/>
  <c r="P472"/>
  <c r="V471"/>
  <c r="N471" s="1"/>
  <c r="N469" s="1"/>
  <c r="O471"/>
  <c r="O469" s="1"/>
  <c r="W469"/>
  <c r="U469"/>
  <c r="T469"/>
  <c r="S469"/>
  <c r="R469"/>
  <c r="Q469"/>
  <c r="P469"/>
  <c r="O467"/>
  <c r="N467"/>
  <c r="O466"/>
  <c r="N466"/>
  <c r="V465"/>
  <c r="T465"/>
  <c r="S465"/>
  <c r="R465"/>
  <c r="Q465"/>
  <c r="P465"/>
  <c r="V464"/>
  <c r="N464" s="1"/>
  <c r="O464"/>
  <c r="O463"/>
  <c r="N463"/>
  <c r="W462"/>
  <c r="U462"/>
  <c r="T462"/>
  <c r="S462"/>
  <c r="R462"/>
  <c r="Q462"/>
  <c r="P462"/>
  <c r="O461"/>
  <c r="O460"/>
  <c r="V458"/>
  <c r="N458" s="1"/>
  <c r="O458"/>
  <c r="O457"/>
  <c r="N457"/>
  <c r="O456"/>
  <c r="N456"/>
  <c r="O455"/>
  <c r="N455"/>
  <c r="O454"/>
  <c r="O453"/>
  <c r="V452"/>
  <c r="N452" s="1"/>
  <c r="O452"/>
  <c r="V451"/>
  <c r="N451" s="1"/>
  <c r="O451"/>
  <c r="W450"/>
  <c r="O450" s="1"/>
  <c r="V450"/>
  <c r="N450" s="1"/>
  <c r="O449"/>
  <c r="N449"/>
  <c r="O448"/>
  <c r="N448"/>
  <c r="O447"/>
  <c r="N447"/>
  <c r="O446"/>
  <c r="O445"/>
  <c r="N445"/>
  <c r="O444"/>
  <c r="O443"/>
  <c r="O442"/>
  <c r="N442"/>
  <c r="O441"/>
  <c r="O440"/>
  <c r="N440"/>
  <c r="O439"/>
  <c r="N439"/>
  <c r="O438"/>
  <c r="N438"/>
  <c r="O437"/>
  <c r="N437"/>
  <c r="O436"/>
  <c r="N436"/>
  <c r="O435"/>
  <c r="N435"/>
  <c r="O434"/>
  <c r="N434"/>
  <c r="O433"/>
  <c r="N433"/>
  <c r="O432"/>
  <c r="N432"/>
  <c r="O431"/>
  <c r="O430"/>
  <c r="O429"/>
  <c r="O428"/>
  <c r="O427"/>
  <c r="N427"/>
  <c r="O426"/>
  <c r="N426"/>
  <c r="O425"/>
  <c r="N425"/>
  <c r="O424"/>
  <c r="N424"/>
  <c r="O423"/>
  <c r="N423"/>
  <c r="O422"/>
  <c r="N422"/>
  <c r="O421"/>
  <c r="N421"/>
  <c r="W419"/>
  <c r="O419" s="1"/>
  <c r="V419"/>
  <c r="N419" s="1"/>
  <c r="V418"/>
  <c r="N418" s="1"/>
  <c r="O418"/>
  <c r="O417"/>
  <c r="V416"/>
  <c r="N416" s="1"/>
  <c r="O416"/>
  <c r="O415"/>
  <c r="N415"/>
  <c r="O414"/>
  <c r="N414"/>
  <c r="O413"/>
  <c r="N413"/>
  <c r="W412"/>
  <c r="O412" s="1"/>
  <c r="V412"/>
  <c r="N412" s="1"/>
  <c r="O411"/>
  <c r="N411"/>
  <c r="V410"/>
  <c r="N410" s="1"/>
  <c r="O410"/>
  <c r="V409"/>
  <c r="O409"/>
  <c r="V408"/>
  <c r="N408" s="1"/>
  <c r="O408"/>
  <c r="U407"/>
  <c r="T407"/>
  <c r="S407"/>
  <c r="R407"/>
  <c r="Q407"/>
  <c r="P407"/>
  <c r="V406"/>
  <c r="N406" s="1"/>
  <c r="O406"/>
  <c r="O405"/>
  <c r="O404"/>
  <c r="V403"/>
  <c r="N403" s="1"/>
  <c r="O403"/>
  <c r="V402"/>
  <c r="N402" s="1"/>
  <c r="O402"/>
  <c r="W401"/>
  <c r="O401" s="1"/>
  <c r="V401"/>
  <c r="N401" s="1"/>
  <c r="O400"/>
  <c r="O399"/>
  <c r="O398"/>
  <c r="N398"/>
  <c r="O397"/>
  <c r="N397"/>
  <c r="O396"/>
  <c r="N396"/>
  <c r="O395"/>
  <c r="N395"/>
  <c r="W394"/>
  <c r="O394" s="1"/>
  <c r="V394"/>
  <c r="N394" s="1"/>
  <c r="V393"/>
  <c r="N393" s="1"/>
  <c r="O393"/>
  <c r="O392"/>
  <c r="N392"/>
  <c r="V391"/>
  <c r="N391" s="1"/>
  <c r="O391"/>
  <c r="O390"/>
  <c r="O389"/>
  <c r="O388"/>
  <c r="O387"/>
  <c r="N387"/>
  <c r="O386"/>
  <c r="N386"/>
  <c r="O385"/>
  <c r="O384"/>
  <c r="O382"/>
  <c r="N382"/>
  <c r="O381"/>
  <c r="N381"/>
  <c r="O380"/>
  <c r="N380"/>
  <c r="O379"/>
  <c r="N379"/>
  <c r="O377"/>
  <c r="N377"/>
  <c r="O376"/>
  <c r="N376"/>
  <c r="O375"/>
  <c r="N375"/>
  <c r="R374"/>
  <c r="N374" s="1"/>
  <c r="O374"/>
  <c r="O373"/>
  <c r="N373"/>
  <c r="V372"/>
  <c r="N372" s="1"/>
  <c r="O372"/>
  <c r="V371"/>
  <c r="N371" s="1"/>
  <c r="O371"/>
  <c r="V370"/>
  <c r="N370" s="1"/>
  <c r="O370"/>
  <c r="O369"/>
  <c r="N369"/>
  <c r="O368"/>
  <c r="N368"/>
  <c r="W367"/>
  <c r="O367" s="1"/>
  <c r="V367"/>
  <c r="N367" s="1"/>
  <c r="V366"/>
  <c r="N366" s="1"/>
  <c r="O366"/>
  <c r="V365"/>
  <c r="N365" s="1"/>
  <c r="O365"/>
  <c r="V364"/>
  <c r="N364" s="1"/>
  <c r="O364"/>
  <c r="V362"/>
  <c r="T362" s="1"/>
  <c r="T361" s="1"/>
  <c r="U361"/>
  <c r="S361"/>
  <c r="Q361"/>
  <c r="O360"/>
  <c r="N360"/>
  <c r="O359"/>
  <c r="N359"/>
  <c r="O357"/>
  <c r="O356"/>
  <c r="N356"/>
  <c r="W355"/>
  <c r="O355" s="1"/>
  <c r="V355"/>
  <c r="N355" s="1"/>
  <c r="V354"/>
  <c r="N354" s="1"/>
  <c r="O354"/>
  <c r="O353"/>
  <c r="N353"/>
  <c r="V352"/>
  <c r="N352" s="1"/>
  <c r="O352"/>
  <c r="O351"/>
  <c r="O350"/>
  <c r="O349"/>
  <c r="N349"/>
  <c r="U348"/>
  <c r="T348"/>
  <c r="S348"/>
  <c r="R348"/>
  <c r="Q348"/>
  <c r="P348"/>
  <c r="O347"/>
  <c r="N347"/>
  <c r="V346"/>
  <c r="N346" s="1"/>
  <c r="O346"/>
  <c r="W345"/>
  <c r="O345" s="1"/>
  <c r="V345"/>
  <c r="N345" s="1"/>
  <c r="O344"/>
  <c r="V343"/>
  <c r="N343" s="1"/>
  <c r="O343"/>
  <c r="O342"/>
  <c r="R341"/>
  <c r="N341" s="1"/>
  <c r="O341"/>
  <c r="O340"/>
  <c r="N340"/>
  <c r="V339"/>
  <c r="O339"/>
  <c r="O338"/>
  <c r="N338"/>
  <c r="V337"/>
  <c r="N337" s="1"/>
  <c r="O337"/>
  <c r="O336"/>
  <c r="N336"/>
  <c r="W335"/>
  <c r="O335" s="1"/>
  <c r="V335"/>
  <c r="N335" s="1"/>
  <c r="U334"/>
  <c r="T334"/>
  <c r="S334"/>
  <c r="Q334"/>
  <c r="P334"/>
  <c r="N333"/>
  <c r="N331"/>
  <c r="N330"/>
  <c r="N329"/>
  <c r="N328"/>
  <c r="N327"/>
  <c r="N326"/>
  <c r="N325"/>
  <c r="V324"/>
  <c r="T324"/>
  <c r="R324"/>
  <c r="P324"/>
  <c r="O323"/>
  <c r="O322"/>
  <c r="W321"/>
  <c r="O321" s="1"/>
  <c r="V321"/>
  <c r="N321" s="1"/>
  <c r="V320"/>
  <c r="N320" s="1"/>
  <c r="O320"/>
  <c r="V319"/>
  <c r="N319" s="1"/>
  <c r="O319"/>
  <c r="V318"/>
  <c r="N318" s="1"/>
  <c r="O318"/>
  <c r="O317"/>
  <c r="O316"/>
  <c r="O315"/>
  <c r="R314"/>
  <c r="N314" s="1"/>
  <c r="O314"/>
  <c r="R313"/>
  <c r="N313" s="1"/>
  <c r="O313"/>
  <c r="V312"/>
  <c r="N312" s="1"/>
  <c r="O312"/>
  <c r="O310"/>
  <c r="N310"/>
  <c r="V309"/>
  <c r="N309" s="1"/>
  <c r="O309"/>
  <c r="O308"/>
  <c r="N308"/>
  <c r="O307"/>
  <c r="N307"/>
  <c r="O306"/>
  <c r="N306"/>
  <c r="V305"/>
  <c r="N305" s="1"/>
  <c r="O305"/>
  <c r="V304"/>
  <c r="N304" s="1"/>
  <c r="O304"/>
  <c r="O303"/>
  <c r="N303"/>
  <c r="V302"/>
  <c r="N302" s="1"/>
  <c r="O302"/>
  <c r="V301"/>
  <c r="N301" s="1"/>
  <c r="O301"/>
  <c r="O300"/>
  <c r="N300"/>
  <c r="O299"/>
  <c r="N299"/>
  <c r="O298"/>
  <c r="O297"/>
  <c r="N297"/>
  <c r="O296"/>
  <c r="N296"/>
  <c r="O295"/>
  <c r="N295"/>
  <c r="V294"/>
  <c r="N294" s="1"/>
  <c r="O294"/>
  <c r="W293"/>
  <c r="O293" s="1"/>
  <c r="V293"/>
  <c r="N293" s="1"/>
  <c r="O292"/>
  <c r="N292"/>
  <c r="V291"/>
  <c r="N291" s="1"/>
  <c r="O291"/>
  <c r="O290"/>
  <c r="N290"/>
  <c r="V289"/>
  <c r="N289" s="1"/>
  <c r="O289"/>
  <c r="W288"/>
  <c r="U288" s="1"/>
  <c r="V288"/>
  <c r="T288" s="1"/>
  <c r="R288" s="1"/>
  <c r="O284"/>
  <c r="N284"/>
  <c r="O283"/>
  <c r="O282"/>
  <c r="N282"/>
  <c r="O281"/>
  <c r="N281"/>
  <c r="O280"/>
  <c r="N280"/>
  <c r="O279"/>
  <c r="N279"/>
  <c r="O278"/>
  <c r="N278"/>
  <c r="O277"/>
  <c r="N277"/>
  <c r="O276"/>
  <c r="N276"/>
  <c r="O275"/>
  <c r="N275"/>
  <c r="O274"/>
  <c r="N274"/>
  <c r="O273"/>
  <c r="N273"/>
  <c r="O272"/>
  <c r="N272"/>
  <c r="O271"/>
  <c r="N271"/>
  <c r="O270"/>
  <c r="N270"/>
  <c r="W268"/>
  <c r="O268" s="1"/>
  <c r="V268"/>
  <c r="N268" s="1"/>
  <c r="W267"/>
  <c r="O267" s="1"/>
  <c r="V267"/>
  <c r="N267" s="1"/>
  <c r="O266"/>
  <c r="N266"/>
  <c r="W265"/>
  <c r="O265" s="1"/>
  <c r="V265"/>
  <c r="N265" s="1"/>
  <c r="W264"/>
  <c r="O264" s="1"/>
  <c r="V264"/>
  <c r="N264" s="1"/>
  <c r="V263"/>
  <c r="N263" s="1"/>
  <c r="O263"/>
  <c r="V262"/>
  <c r="N262" s="1"/>
  <c r="O262"/>
  <c r="O261"/>
  <c r="N261"/>
  <c r="V260"/>
  <c r="N260" s="1"/>
  <c r="O260"/>
  <c r="V259"/>
  <c r="N259" s="1"/>
  <c r="O259"/>
  <c r="V258"/>
  <c r="N258" s="1"/>
  <c r="O258"/>
  <c r="R255"/>
  <c r="P255"/>
  <c r="O255"/>
  <c r="R254"/>
  <c r="P254"/>
  <c r="O254"/>
  <c r="O253"/>
  <c r="N253"/>
  <c r="P252"/>
  <c r="N252" s="1"/>
  <c r="O252"/>
  <c r="O251"/>
  <c r="N251"/>
  <c r="O250"/>
  <c r="N250"/>
  <c r="O249"/>
  <c r="N249"/>
  <c r="O248"/>
  <c r="N248"/>
  <c r="O247"/>
  <c r="O246"/>
  <c r="N246"/>
  <c r="V245"/>
  <c r="N245" s="1"/>
  <c r="O245"/>
  <c r="O244"/>
  <c r="N244"/>
  <c r="O243"/>
  <c r="N243"/>
  <c r="O242"/>
  <c r="O241"/>
  <c r="N241"/>
  <c r="O240"/>
  <c r="O239"/>
  <c r="N239"/>
  <c r="O238"/>
  <c r="N238"/>
  <c r="O237"/>
  <c r="N237"/>
  <c r="O236"/>
  <c r="N236"/>
  <c r="O235"/>
  <c r="O234"/>
  <c r="O233"/>
  <c r="N233"/>
  <c r="O232"/>
  <c r="N232"/>
  <c r="O231"/>
  <c r="N231"/>
  <c r="O230"/>
  <c r="N230"/>
  <c r="O229"/>
  <c r="N229"/>
  <c r="O228"/>
  <c r="O227"/>
  <c r="N227"/>
  <c r="O226"/>
  <c r="N226"/>
  <c r="P225"/>
  <c r="N225" s="1"/>
  <c r="O225"/>
  <c r="P224"/>
  <c r="N224" s="1"/>
  <c r="O224"/>
  <c r="P223"/>
  <c r="N223" s="1"/>
  <c r="O223"/>
  <c r="P222"/>
  <c r="N222" s="1"/>
  <c r="O222"/>
  <c r="P221"/>
  <c r="N221" s="1"/>
  <c r="O221"/>
  <c r="P219"/>
  <c r="N219" s="1"/>
  <c r="O219"/>
  <c r="O218"/>
  <c r="N218"/>
  <c r="O217"/>
  <c r="N217"/>
  <c r="V215"/>
  <c r="O215"/>
  <c r="O214"/>
  <c r="N214"/>
  <c r="O213"/>
  <c r="N213"/>
  <c r="R212"/>
  <c r="N212" s="1"/>
  <c r="O212"/>
  <c r="R211"/>
  <c r="N211" s="1"/>
  <c r="O211"/>
  <c r="U210"/>
  <c r="T210"/>
  <c r="S210"/>
  <c r="Q210"/>
  <c r="O209"/>
  <c r="O208"/>
  <c r="O207"/>
  <c r="O206"/>
  <c r="N206"/>
  <c r="O205"/>
  <c r="N205"/>
  <c r="O204"/>
  <c r="O203"/>
  <c r="V202"/>
  <c r="N202" s="1"/>
  <c r="O202"/>
  <c r="W201"/>
  <c r="O201" s="1"/>
  <c r="V201"/>
  <c r="N201" s="1"/>
  <c r="W200"/>
  <c r="O200" s="1"/>
  <c r="V200"/>
  <c r="N200" s="1"/>
  <c r="V199"/>
  <c r="N199" s="1"/>
  <c r="O199"/>
  <c r="V198"/>
  <c r="N198" s="1"/>
  <c r="O198"/>
  <c r="V197"/>
  <c r="N197" s="1"/>
  <c r="O197"/>
  <c r="V196"/>
  <c r="N196" s="1"/>
  <c r="O196"/>
  <c r="V195"/>
  <c r="N195" s="1"/>
  <c r="O195"/>
  <c r="O194"/>
  <c r="N194"/>
  <c r="V193"/>
  <c r="N193" s="1"/>
  <c r="O193"/>
  <c r="V192"/>
  <c r="N192" s="1"/>
  <c r="O192"/>
  <c r="V191"/>
  <c r="N191" s="1"/>
  <c r="O191"/>
  <c r="V190"/>
  <c r="O190"/>
  <c r="O189"/>
  <c r="N189"/>
  <c r="O188"/>
  <c r="O187"/>
  <c r="O186"/>
  <c r="O185"/>
  <c r="N185"/>
  <c r="O184"/>
  <c r="N184"/>
  <c r="O183"/>
  <c r="N183"/>
  <c r="O182"/>
  <c r="O181"/>
  <c r="O180"/>
  <c r="N180"/>
  <c r="V179"/>
  <c r="T179" s="1"/>
  <c r="O179"/>
  <c r="U178"/>
  <c r="S178"/>
  <c r="Q178"/>
  <c r="O177"/>
  <c r="N177"/>
  <c r="O176"/>
  <c r="N176"/>
  <c r="O175"/>
  <c r="N175"/>
  <c r="V174"/>
  <c r="V169" s="1"/>
  <c r="O174"/>
  <c r="O173"/>
  <c r="N173"/>
  <c r="O172"/>
  <c r="O171"/>
  <c r="N171"/>
  <c r="O170"/>
  <c r="N170"/>
  <c r="W169"/>
  <c r="U169"/>
  <c r="T169"/>
  <c r="S169"/>
  <c r="R169"/>
  <c r="Q169"/>
  <c r="P169"/>
  <c r="V168"/>
  <c r="O168"/>
  <c r="O167"/>
  <c r="O166"/>
  <c r="O165"/>
  <c r="O163"/>
  <c r="N163"/>
  <c r="V162"/>
  <c r="N162" s="1"/>
  <c r="O162"/>
  <c r="O161"/>
  <c r="N161"/>
  <c r="O160"/>
  <c r="O159"/>
  <c r="N159"/>
  <c r="V158"/>
  <c r="N158" s="1"/>
  <c r="O158"/>
  <c r="V157"/>
  <c r="N157" s="1"/>
  <c r="O157"/>
  <c r="W156"/>
  <c r="O156" s="1"/>
  <c r="T156"/>
  <c r="R156"/>
  <c r="P156"/>
  <c r="O155"/>
  <c r="N155"/>
  <c r="O154"/>
  <c r="N154"/>
  <c r="W153"/>
  <c r="U153" s="1"/>
  <c r="S153" s="1"/>
  <c r="Q153" s="1"/>
  <c r="O153" s="1"/>
  <c r="V153"/>
  <c r="T153" s="1"/>
  <c r="R153" s="1"/>
  <c r="P153" s="1"/>
  <c r="N153" s="1"/>
  <c r="W152"/>
  <c r="V152"/>
  <c r="U152"/>
  <c r="T152"/>
  <c r="S152"/>
  <c r="R152"/>
  <c r="Q152"/>
  <c r="P152"/>
  <c r="O151"/>
  <c r="N151"/>
  <c r="R150"/>
  <c r="Q150"/>
  <c r="O150" s="1"/>
  <c r="P150"/>
  <c r="O149"/>
  <c r="N149"/>
  <c r="O148"/>
  <c r="N148"/>
  <c r="V147"/>
  <c r="N147" s="1"/>
  <c r="O147"/>
  <c r="V146"/>
  <c r="N146" s="1"/>
  <c r="O146"/>
  <c r="V144"/>
  <c r="N144" s="1"/>
  <c r="O144"/>
  <c r="O143"/>
  <c r="N143"/>
  <c r="O141"/>
  <c r="N141"/>
  <c r="O140"/>
  <c r="N140"/>
  <c r="O139"/>
  <c r="N139"/>
  <c r="V138"/>
  <c r="N138" s="1"/>
  <c r="O138"/>
  <c r="O137"/>
  <c r="N137"/>
  <c r="V136"/>
  <c r="N136" s="1"/>
  <c r="O136"/>
  <c r="V135"/>
  <c r="N135" s="1"/>
  <c r="O135"/>
  <c r="O134"/>
  <c r="N134"/>
  <c r="O133"/>
  <c r="N133"/>
  <c r="O132"/>
  <c r="N132"/>
  <c r="R131"/>
  <c r="N131" s="1"/>
  <c r="O131"/>
  <c r="O130"/>
  <c r="N130"/>
  <c r="R129"/>
  <c r="N129" s="1"/>
  <c r="O129"/>
  <c r="O128"/>
  <c r="N128"/>
  <c r="O127"/>
  <c r="N127"/>
  <c r="O126"/>
  <c r="N126"/>
  <c r="V125"/>
  <c r="O125"/>
  <c r="O124"/>
  <c r="N124"/>
  <c r="O123"/>
  <c r="N123"/>
  <c r="O122"/>
  <c r="N122"/>
  <c r="O121"/>
  <c r="N121"/>
  <c r="O120"/>
  <c r="N120"/>
  <c r="O119"/>
  <c r="N119"/>
  <c r="V118"/>
  <c r="N118" s="1"/>
  <c r="O118"/>
  <c r="O117"/>
  <c r="N117"/>
  <c r="O116"/>
  <c r="N116"/>
  <c r="O115"/>
  <c r="N115"/>
  <c r="O114"/>
  <c r="N114"/>
  <c r="O113"/>
  <c r="N113"/>
  <c r="O112"/>
  <c r="N112"/>
  <c r="O111"/>
  <c r="N111"/>
  <c r="O110"/>
  <c r="N110"/>
  <c r="O109"/>
  <c r="N109"/>
  <c r="O108"/>
  <c r="N108"/>
  <c r="W107"/>
  <c r="U107"/>
  <c r="T107"/>
  <c r="S107"/>
  <c r="O106"/>
  <c r="N106"/>
  <c r="O105"/>
  <c r="N105"/>
  <c r="O104"/>
  <c r="N104"/>
  <c r="O103"/>
  <c r="N103"/>
  <c r="O102"/>
  <c r="N102"/>
  <c r="V101"/>
  <c r="N101" s="1"/>
  <c r="O101"/>
  <c r="O100"/>
  <c r="N100"/>
  <c r="O99"/>
  <c r="N99"/>
  <c r="O98"/>
  <c r="N98"/>
  <c r="O97"/>
  <c r="N97"/>
  <c r="O96"/>
  <c r="N96"/>
  <c r="O95"/>
  <c r="N95"/>
  <c r="O94"/>
  <c r="N94"/>
  <c r="O93"/>
  <c r="N93"/>
  <c r="O92"/>
  <c r="N92"/>
  <c r="O91"/>
  <c r="O88"/>
  <c r="N88"/>
  <c r="V87"/>
  <c r="N87" s="1"/>
  <c r="O87"/>
  <c r="O86"/>
  <c r="N86"/>
  <c r="O85"/>
  <c r="N85"/>
  <c r="O84"/>
  <c r="N84"/>
  <c r="O83"/>
  <c r="N83"/>
  <c r="O81"/>
  <c r="N81"/>
  <c r="O80"/>
  <c r="N80"/>
  <c r="O79"/>
  <c r="N79"/>
  <c r="V78"/>
  <c r="N78" s="1"/>
  <c r="O78"/>
  <c r="O77"/>
  <c r="N77"/>
  <c r="V76"/>
  <c r="N76" s="1"/>
  <c r="O76"/>
  <c r="O75"/>
  <c r="N75"/>
  <c r="V74"/>
  <c r="N74" s="1"/>
  <c r="O74"/>
  <c r="V73"/>
  <c r="N73" s="1"/>
  <c r="O73"/>
  <c r="V72"/>
  <c r="N72" s="1"/>
  <c r="O72"/>
  <c r="V71"/>
  <c r="N71" s="1"/>
  <c r="O71"/>
  <c r="O70"/>
  <c r="N70"/>
  <c r="O69"/>
  <c r="N69"/>
  <c r="O68"/>
  <c r="N68"/>
  <c r="W67"/>
  <c r="O67" s="1"/>
  <c r="V67"/>
  <c r="R66"/>
  <c r="R65" s="1"/>
  <c r="O66"/>
  <c r="U65"/>
  <c r="T65"/>
  <c r="S65"/>
  <c r="Q65"/>
  <c r="P65"/>
  <c r="O64"/>
  <c r="O63"/>
  <c r="O60"/>
  <c r="O59"/>
  <c r="N59"/>
  <c r="O58"/>
  <c r="N58"/>
  <c r="O57"/>
  <c r="N57"/>
  <c r="O56"/>
  <c r="N56"/>
  <c r="O55"/>
  <c r="N55"/>
  <c r="O52"/>
  <c r="N52"/>
  <c r="O51"/>
  <c r="N51"/>
  <c r="O50"/>
  <c r="N50"/>
  <c r="O49"/>
  <c r="N49"/>
  <c r="O47"/>
  <c r="N47"/>
  <c r="O46"/>
  <c r="N46"/>
  <c r="O45"/>
  <c r="N45"/>
  <c r="O44"/>
  <c r="N44"/>
  <c r="O43"/>
  <c r="V42"/>
  <c r="N42" s="1"/>
  <c r="O42"/>
  <c r="O41"/>
  <c r="N41"/>
  <c r="O40"/>
  <c r="N40"/>
  <c r="O39"/>
  <c r="N39"/>
  <c r="O38"/>
  <c r="N38"/>
  <c r="W37"/>
  <c r="U37"/>
  <c r="T37"/>
  <c r="S37"/>
  <c r="R37"/>
  <c r="Q37"/>
  <c r="P37"/>
  <c r="O36"/>
  <c r="N36"/>
  <c r="O35"/>
  <c r="N35"/>
  <c r="V34"/>
  <c r="N34" s="1"/>
  <c r="O34"/>
  <c r="V32"/>
  <c r="N32" s="1"/>
  <c r="O32"/>
  <c r="V30"/>
  <c r="N30" s="1"/>
  <c r="O30"/>
  <c r="O29"/>
  <c r="N29"/>
  <c r="O24"/>
  <c r="N24"/>
  <c r="O23"/>
  <c r="V22"/>
  <c r="N22" s="1"/>
  <c r="O22"/>
  <c r="V21"/>
  <c r="N21" s="1"/>
  <c r="O21"/>
  <c r="O20"/>
  <c r="N20"/>
  <c r="V19"/>
  <c r="N19" s="1"/>
  <c r="O19"/>
  <c r="W18"/>
  <c r="U18"/>
  <c r="T18"/>
  <c r="S18"/>
  <c r="R18"/>
  <c r="Q18"/>
  <c r="P18"/>
  <c r="AB581" l="1"/>
  <c r="AO734"/>
  <c r="O152"/>
  <c r="X808"/>
  <c r="X805" s="1"/>
  <c r="AB843"/>
  <c r="AC833"/>
  <c r="AH808"/>
  <c r="AM795"/>
  <c r="AM816"/>
  <c r="AM169"/>
  <c r="AQ613"/>
  <c r="O830"/>
  <c r="O766"/>
  <c r="N808"/>
  <c r="N805" s="1"/>
  <c r="Q843"/>
  <c r="N830"/>
  <c r="X766"/>
  <c r="AH775"/>
  <c r="X211"/>
  <c r="AG843"/>
  <c r="AA843"/>
  <c r="N589"/>
  <c r="N581" s="1"/>
  <c r="O833"/>
  <c r="AC462"/>
  <c r="AC766"/>
  <c r="AM18"/>
  <c r="AM156"/>
  <c r="V37"/>
  <c r="X256"/>
  <c r="AI210"/>
  <c r="AH872"/>
  <c r="V469"/>
  <c r="X324"/>
  <c r="X739"/>
  <c r="X735" s="1"/>
  <c r="V721"/>
  <c r="R210"/>
  <c r="Z615"/>
  <c r="O37"/>
  <c r="AC324"/>
  <c r="AF843"/>
  <c r="AM462"/>
  <c r="AM615"/>
  <c r="AM725"/>
  <c r="AH766"/>
  <c r="AH795"/>
  <c r="O462"/>
  <c r="V472"/>
  <c r="O812"/>
  <c r="Z721"/>
  <c r="AH37"/>
  <c r="AH324"/>
  <c r="AN613"/>
  <c r="AH615"/>
  <c r="AH661"/>
  <c r="AH690"/>
  <c r="AM775"/>
  <c r="AO830"/>
  <c r="AO760" s="1"/>
  <c r="AP843"/>
  <c r="AH862"/>
  <c r="R725"/>
  <c r="R795"/>
  <c r="R816"/>
  <c r="X169"/>
  <c r="AC661"/>
  <c r="AC690"/>
  <c r="X714"/>
  <c r="AB718"/>
  <c r="X816"/>
  <c r="AM324"/>
  <c r="AM348"/>
  <c r="AH462"/>
  <c r="AH721"/>
  <c r="AH725"/>
  <c r="AM812"/>
  <c r="N255"/>
  <c r="N324"/>
  <c r="W477"/>
  <c r="Q760"/>
  <c r="W760"/>
  <c r="P805"/>
  <c r="R830"/>
  <c r="P843"/>
  <c r="V843"/>
  <c r="AC582"/>
  <c r="AB725"/>
  <c r="AC749"/>
  <c r="AC747" s="1"/>
  <c r="AC734" s="1"/>
  <c r="AF760"/>
  <c r="AE872"/>
  <c r="AH812"/>
  <c r="AC816"/>
  <c r="AC821"/>
  <c r="AD843"/>
  <c r="AM721"/>
  <c r="AK760"/>
  <c r="AJ830"/>
  <c r="AJ760" s="1"/>
  <c r="AE734"/>
  <c r="W210"/>
  <c r="U613"/>
  <c r="O718"/>
  <c r="N722"/>
  <c r="N724"/>
  <c r="U760"/>
  <c r="O775"/>
  <c r="S843"/>
  <c r="Z872"/>
  <c r="AI734"/>
  <c r="AG156"/>
  <c r="N150"/>
  <c r="N254"/>
  <c r="O477"/>
  <c r="S613"/>
  <c r="T613"/>
  <c r="V718"/>
  <c r="N797"/>
  <c r="N795" s="1"/>
  <c r="O816"/>
  <c r="R821"/>
  <c r="N833"/>
  <c r="T843"/>
  <c r="AC18"/>
  <c r="AC37"/>
  <c r="AC169"/>
  <c r="AA734"/>
  <c r="AE830"/>
  <c r="AE760" s="1"/>
  <c r="AH107"/>
  <c r="AQ156"/>
  <c r="AH348"/>
  <c r="AM407"/>
  <c r="AI613"/>
  <c r="AQ734"/>
  <c r="AM766"/>
  <c r="AL843"/>
  <c r="AQ843"/>
  <c r="AM862"/>
  <c r="AM872"/>
  <c r="W178"/>
  <c r="O178" s="1"/>
  <c r="N718"/>
  <c r="P721"/>
  <c r="N749"/>
  <c r="N747" s="1"/>
  <c r="N734" s="1"/>
  <c r="AC152"/>
  <c r="AB178"/>
  <c r="AB348"/>
  <c r="Z734"/>
  <c r="AF734"/>
  <c r="AL477"/>
  <c r="AP613"/>
  <c r="AM690"/>
  <c r="AP760"/>
  <c r="AK843"/>
  <c r="O65"/>
  <c r="AC285"/>
  <c r="AG613"/>
  <c r="AG760"/>
  <c r="AG891" s="1"/>
  <c r="AM152"/>
  <c r="AL734"/>
  <c r="AH805"/>
  <c r="AM833"/>
  <c r="Q107"/>
  <c r="V285"/>
  <c r="V407"/>
  <c r="O581"/>
  <c r="P613"/>
  <c r="O725"/>
  <c r="S760"/>
  <c r="R805"/>
  <c r="R872"/>
  <c r="AG18"/>
  <c r="Z210"/>
  <c r="Z661"/>
  <c r="AD613"/>
  <c r="X749"/>
  <c r="X747" s="1"/>
  <c r="Y843"/>
  <c r="AH169"/>
  <c r="AQ477"/>
  <c r="AQ581"/>
  <c r="N66"/>
  <c r="V65"/>
  <c r="W334"/>
  <c r="N731"/>
  <c r="N725" s="1"/>
  <c r="V760"/>
  <c r="P760"/>
  <c r="T760"/>
  <c r="N766"/>
  <c r="O821"/>
  <c r="O845"/>
  <c r="AC65"/>
  <c r="AB107"/>
  <c r="X152"/>
  <c r="AF591"/>
  <c r="AE591" s="1"/>
  <c r="AD591" s="1"/>
  <c r="AB615"/>
  <c r="Y721"/>
  <c r="Y613" s="1"/>
  <c r="AB760"/>
  <c r="AB891" s="1"/>
  <c r="Z821"/>
  <c r="AH718"/>
  <c r="W65"/>
  <c r="N152"/>
  <c r="O690"/>
  <c r="Q721"/>
  <c r="Q613" s="1"/>
  <c r="O749"/>
  <c r="O747" s="1"/>
  <c r="O734" s="1"/>
  <c r="O795"/>
  <c r="AB285"/>
  <c r="X724"/>
  <c r="AC725"/>
  <c r="AC830"/>
  <c r="AJ613"/>
  <c r="AN734"/>
  <c r="AH749"/>
  <c r="AH747" s="1"/>
  <c r="AH734" s="1"/>
  <c r="AH816"/>
  <c r="AH821"/>
  <c r="AH830"/>
  <c r="AI843"/>
  <c r="R179"/>
  <c r="P179" s="1"/>
  <c r="P178" s="1"/>
  <c r="T178"/>
  <c r="O590"/>
  <c r="O661"/>
  <c r="N816"/>
  <c r="AM285"/>
  <c r="N37"/>
  <c r="R107"/>
  <c r="O107"/>
  <c r="O169"/>
  <c r="V178"/>
  <c r="P210"/>
  <c r="W285"/>
  <c r="O334"/>
  <c r="V348"/>
  <c r="O361"/>
  <c r="N462"/>
  <c r="N465"/>
  <c r="W590"/>
  <c r="V610"/>
  <c r="V615"/>
  <c r="O615"/>
  <c r="N661"/>
  <c r="N690"/>
  <c r="N723"/>
  <c r="R775"/>
  <c r="R812"/>
  <c r="N821"/>
  <c r="AB18"/>
  <c r="AB37"/>
  <c r="AG361"/>
  <c r="AC407"/>
  <c r="AB575"/>
  <c r="AB590"/>
  <c r="AF613"/>
  <c r="AC615"/>
  <c r="AG734"/>
  <c r="AB749"/>
  <c r="AB747" s="1"/>
  <c r="AB734" s="1"/>
  <c r="Z795"/>
  <c r="AC812"/>
  <c r="Z833"/>
  <c r="Z845"/>
  <c r="Z862"/>
  <c r="AQ361"/>
  <c r="AK613"/>
  <c r="AL760"/>
  <c r="X37"/>
  <c r="AE613"/>
  <c r="X833"/>
  <c r="AO613"/>
  <c r="V18"/>
  <c r="P107"/>
  <c r="V210"/>
  <c r="R334"/>
  <c r="V334"/>
  <c r="V361"/>
  <c r="W407"/>
  <c r="V661"/>
  <c r="W690"/>
  <c r="N775"/>
  <c r="N812"/>
  <c r="R862"/>
  <c r="AB65"/>
  <c r="AC107"/>
  <c r="AB210"/>
  <c r="Y210"/>
  <c r="AG285"/>
  <c r="X294"/>
  <c r="X285" s="1"/>
  <c r="AB334"/>
  <c r="AC334"/>
  <c r="X462"/>
  <c r="X465"/>
  <c r="AC581"/>
  <c r="X582"/>
  <c r="X581" s="1"/>
  <c r="X616"/>
  <c r="X615" s="1"/>
  <c r="X680"/>
  <c r="X661" s="1"/>
  <c r="AC718"/>
  <c r="AC775"/>
  <c r="AC795"/>
  <c r="Y805"/>
  <c r="X872"/>
  <c r="AH65"/>
  <c r="AH152"/>
  <c r="AL613"/>
  <c r="AP734"/>
  <c r="AN760"/>
  <c r="AH833"/>
  <c r="AM845"/>
  <c r="AJ872"/>
  <c r="AO872"/>
  <c r="AO843" s="1"/>
  <c r="V156"/>
  <c r="N156" s="1"/>
  <c r="W661"/>
  <c r="Y734"/>
  <c r="O18"/>
  <c r="V107"/>
  <c r="N215"/>
  <c r="O210"/>
  <c r="W348"/>
  <c r="O348"/>
  <c r="N409"/>
  <c r="N407" s="1"/>
  <c r="O465"/>
  <c r="V477"/>
  <c r="W615"/>
  <c r="V690"/>
  <c r="O721"/>
  <c r="O862"/>
  <c r="O872"/>
  <c r="AB156"/>
  <c r="AC156"/>
  <c r="AG210"/>
  <c r="X348"/>
  <c r="AC348"/>
  <c r="AG407"/>
  <c r="X458"/>
  <c r="AG477"/>
  <c r="AB477"/>
  <c r="AA613"/>
  <c r="X723"/>
  <c r="AC721"/>
  <c r="AD760"/>
  <c r="Z775"/>
  <c r="AA760"/>
  <c r="AA891" s="1"/>
  <c r="AC845"/>
  <c r="AC862"/>
  <c r="AC872"/>
  <c r="AQ18"/>
  <c r="AM37"/>
  <c r="AM581"/>
  <c r="AM661"/>
  <c r="AM718"/>
  <c r="AJ734"/>
  <c r="AM749"/>
  <c r="AM747" s="1"/>
  <c r="AM734" s="1"/>
  <c r="AI760"/>
  <c r="AQ760"/>
  <c r="AM821"/>
  <c r="AM830"/>
  <c r="AN843"/>
  <c r="AH845"/>
  <c r="AH21"/>
  <c r="AH18" s="1"/>
  <c r="AL18"/>
  <c r="AH293"/>
  <c r="AH285" s="1"/>
  <c r="AL285"/>
  <c r="AQ107"/>
  <c r="AM149"/>
  <c r="AM107" s="1"/>
  <c r="AM252"/>
  <c r="AN210"/>
  <c r="AQ210"/>
  <c r="AM262"/>
  <c r="AK361"/>
  <c r="AJ362"/>
  <c r="AH418"/>
  <c r="AH407" s="1"/>
  <c r="AL407"/>
  <c r="AK477"/>
  <c r="AJ478"/>
  <c r="AQ590"/>
  <c r="AP591"/>
  <c r="AQ178"/>
  <c r="AP179"/>
  <c r="AL210"/>
  <c r="AH258"/>
  <c r="AH210" s="1"/>
  <c r="AL581"/>
  <c r="AH582"/>
  <c r="AH581" s="1"/>
  <c r="AL156"/>
  <c r="AH168"/>
  <c r="AH156" s="1"/>
  <c r="AQ334"/>
  <c r="AM346"/>
  <c r="AM334" s="1"/>
  <c r="AH402"/>
  <c r="AL361"/>
  <c r="AH334"/>
  <c r="AQ407"/>
  <c r="AP477"/>
  <c r="AM65"/>
  <c r="AQ285"/>
  <c r="AO362"/>
  <c r="AO478"/>
  <c r="AJ845"/>
  <c r="AK179"/>
  <c r="AK591"/>
  <c r="AM808"/>
  <c r="AM805" s="1"/>
  <c r="AL107"/>
  <c r="AL334"/>
  <c r="Z478"/>
  <c r="X690"/>
  <c r="X812"/>
  <c r="AF361"/>
  <c r="AE362"/>
  <c r="AA590"/>
  <c r="Z591"/>
  <c r="X65"/>
  <c r="X407"/>
  <c r="X795"/>
  <c r="X725"/>
  <c r="Z18"/>
  <c r="X19"/>
  <c r="X18" s="1"/>
  <c r="Z65"/>
  <c r="X145"/>
  <c r="X107" s="1"/>
  <c r="X157"/>
  <c r="X156" s="1"/>
  <c r="AF179"/>
  <c r="AC252"/>
  <c r="X254"/>
  <c r="AC258"/>
  <c r="X336"/>
  <c r="X334" s="1"/>
  <c r="AB361"/>
  <c r="Z362"/>
  <c r="AB407"/>
  <c r="AB462"/>
  <c r="AC473"/>
  <c r="AC472" s="1"/>
  <c r="AF478"/>
  <c r="AA482"/>
  <c r="Z482" s="1"/>
  <c r="Y482" s="1"/>
  <c r="X482" s="1"/>
  <c r="AB661"/>
  <c r="AB690"/>
  <c r="X719"/>
  <c r="X718" s="1"/>
  <c r="X722"/>
  <c r="Z725"/>
  <c r="Y766"/>
  <c r="X778"/>
  <c r="X775" s="1"/>
  <c r="AC808"/>
  <c r="AC805" s="1"/>
  <c r="Z812"/>
  <c r="X826"/>
  <c r="X821" s="1"/>
  <c r="X832"/>
  <c r="X830" s="1"/>
  <c r="AE845"/>
  <c r="X850"/>
  <c r="X845" s="1"/>
  <c r="X865"/>
  <c r="X862" s="1"/>
  <c r="AA179"/>
  <c r="Z805"/>
  <c r="R478"/>
  <c r="T477"/>
  <c r="P288"/>
  <c r="R285"/>
  <c r="N18"/>
  <c r="S288"/>
  <c r="U285"/>
  <c r="U14" s="1"/>
  <c r="N348"/>
  <c r="O407"/>
  <c r="N591"/>
  <c r="N590" s="1"/>
  <c r="T590"/>
  <c r="N615"/>
  <c r="N845"/>
  <c r="N872"/>
  <c r="N67"/>
  <c r="N65" s="1"/>
  <c r="N125"/>
  <c r="N168"/>
  <c r="N174"/>
  <c r="N169" s="1"/>
  <c r="N190"/>
  <c r="T285"/>
  <c r="N339"/>
  <c r="N334" s="1"/>
  <c r="W361"/>
  <c r="V462"/>
  <c r="R721"/>
  <c r="R362"/>
  <c r="V590"/>
  <c r="R845"/>
  <c r="N865"/>
  <c r="N862" s="1"/>
  <c r="AI891" l="1"/>
  <c r="R613"/>
  <c r="N107"/>
  <c r="AF891"/>
  <c r="V613"/>
  <c r="N210"/>
  <c r="X734"/>
  <c r="X210"/>
  <c r="AH843"/>
  <c r="V891"/>
  <c r="AM843"/>
  <c r="AP891"/>
  <c r="T891"/>
  <c r="AK891"/>
  <c r="AQ891"/>
  <c r="AH613"/>
  <c r="AD891"/>
  <c r="AC613"/>
  <c r="AE843"/>
  <c r="AE891" s="1"/>
  <c r="AM613"/>
  <c r="AM210"/>
  <c r="AC843"/>
  <c r="Z760"/>
  <c r="R843"/>
  <c r="Y760"/>
  <c r="Y891" s="1"/>
  <c r="AE590"/>
  <c r="AM760"/>
  <c r="AM891" s="1"/>
  <c r="AM892" s="1"/>
  <c r="AG14"/>
  <c r="AG884" s="1"/>
  <c r="AL891"/>
  <c r="W613"/>
  <c r="AH760"/>
  <c r="O760"/>
  <c r="R178"/>
  <c r="Z613"/>
  <c r="AQ14"/>
  <c r="AQ13" s="1"/>
  <c r="W14"/>
  <c r="AC210"/>
  <c r="AF590"/>
  <c r="N760"/>
  <c r="R760"/>
  <c r="O613"/>
  <c r="AO891"/>
  <c r="AN891"/>
  <c r="V14"/>
  <c r="V885" s="1"/>
  <c r="X721"/>
  <c r="X613" s="1"/>
  <c r="AB14"/>
  <c r="AJ843"/>
  <c r="AJ891" s="1"/>
  <c r="N179"/>
  <c r="N178" s="1"/>
  <c r="AC760"/>
  <c r="AC891" s="1"/>
  <c r="AC892" s="1"/>
  <c r="T14"/>
  <c r="T13" s="1"/>
  <c r="AB613"/>
  <c r="O843"/>
  <c r="Z843"/>
  <c r="N721"/>
  <c r="N613" s="1"/>
  <c r="AO361"/>
  <c r="AN362"/>
  <c r="AP178"/>
  <c r="AO179"/>
  <c r="AJ477"/>
  <c r="AI478"/>
  <c r="AJ361"/>
  <c r="AI362"/>
  <c r="AO477"/>
  <c r="AN478"/>
  <c r="AJ179"/>
  <c r="AK178"/>
  <c r="AP590"/>
  <c r="AO591"/>
  <c r="AJ591"/>
  <c r="AK590"/>
  <c r="AL14"/>
  <c r="X760"/>
  <c r="Y478"/>
  <c r="Z477"/>
  <c r="AF178"/>
  <c r="AE179"/>
  <c r="AE361"/>
  <c r="AD362"/>
  <c r="X843"/>
  <c r="AA477"/>
  <c r="AD590"/>
  <c r="AC591"/>
  <c r="AC590" s="1"/>
  <c r="Z179"/>
  <c r="AA178"/>
  <c r="AF477"/>
  <c r="AE478"/>
  <c r="Z361"/>
  <c r="Y362"/>
  <c r="Z590"/>
  <c r="Y591"/>
  <c r="V884"/>
  <c r="U884"/>
  <c r="U13"/>
  <c r="U885"/>
  <c r="P362"/>
  <c r="R361"/>
  <c r="Q288"/>
  <c r="S285"/>
  <c r="S14" s="1"/>
  <c r="N288"/>
  <c r="P285"/>
  <c r="P478"/>
  <c r="R477"/>
  <c r="N843"/>
  <c r="V13" l="1"/>
  <c r="AH891"/>
  <c r="AH892" s="1"/>
  <c r="T885"/>
  <c r="W885"/>
  <c r="W890" s="1"/>
  <c r="W13"/>
  <c r="W884"/>
  <c r="T884"/>
  <c r="AG885"/>
  <c r="AQ885"/>
  <c r="Z891"/>
  <c r="AQ884"/>
  <c r="AB884"/>
  <c r="AG13"/>
  <c r="N891"/>
  <c r="N892" s="1"/>
  <c r="AB885"/>
  <c r="R14"/>
  <c r="R885" s="1"/>
  <c r="AB13"/>
  <c r="X891"/>
  <c r="X892" s="1"/>
  <c r="AL885"/>
  <c r="AL884"/>
  <c r="AL13"/>
  <c r="AN591"/>
  <c r="AO590"/>
  <c r="AN477"/>
  <c r="AM478"/>
  <c r="AM477" s="1"/>
  <c r="AH478"/>
  <c r="AH477" s="1"/>
  <c r="AI477"/>
  <c r="AJ590"/>
  <c r="AI591"/>
  <c r="AJ178"/>
  <c r="AI179"/>
  <c r="AN361"/>
  <c r="AM362"/>
  <c r="AM361" s="1"/>
  <c r="AH362"/>
  <c r="AH361" s="1"/>
  <c r="AI361"/>
  <c r="AN179"/>
  <c r="AO178"/>
  <c r="AP14"/>
  <c r="AK14"/>
  <c r="Y590"/>
  <c r="X591"/>
  <c r="X590" s="1"/>
  <c r="AD478"/>
  <c r="AE477"/>
  <c r="AD361"/>
  <c r="AC362"/>
  <c r="AC361" s="1"/>
  <c r="Y477"/>
  <c r="X478"/>
  <c r="X477" s="1"/>
  <c r="Z178"/>
  <c r="Z14" s="1"/>
  <c r="Y179"/>
  <c r="AF14"/>
  <c r="X362"/>
  <c r="X361" s="1"/>
  <c r="Y361"/>
  <c r="AD179"/>
  <c r="AE178"/>
  <c r="AA14"/>
  <c r="R13"/>
  <c r="N362"/>
  <c r="N361" s="1"/>
  <c r="P361"/>
  <c r="S885"/>
  <c r="S13"/>
  <c r="S884"/>
  <c r="N285"/>
  <c r="N478"/>
  <c r="N477" s="1"/>
  <c r="P477"/>
  <c r="O288"/>
  <c r="O285" s="1"/>
  <c r="O14" s="1"/>
  <c r="Q285"/>
  <c r="Q14" s="1"/>
  <c r="R884" l="1"/>
  <c r="AE14"/>
  <c r="AE884" s="1"/>
  <c r="N14"/>
  <c r="N885" s="1"/>
  <c r="P14"/>
  <c r="P884" s="1"/>
  <c r="AK884"/>
  <c r="AK13"/>
  <c r="AK885"/>
  <c r="AI178"/>
  <c r="AH179"/>
  <c r="AH178" s="1"/>
  <c r="AN178"/>
  <c r="AM179"/>
  <c r="AM178" s="1"/>
  <c r="AI590"/>
  <c r="AH591"/>
  <c r="AH590" s="1"/>
  <c r="AP885"/>
  <c r="AP884"/>
  <c r="AP13"/>
  <c r="AN590"/>
  <c r="AM591"/>
  <c r="AM590" s="1"/>
  <c r="AO14"/>
  <c r="AJ14"/>
  <c r="Z884"/>
  <c r="Z885"/>
  <c r="Z13"/>
  <c r="AF885"/>
  <c r="AF13"/>
  <c r="AF884"/>
  <c r="AD477"/>
  <c r="AC478"/>
  <c r="AC477" s="1"/>
  <c r="AC179"/>
  <c r="AC178" s="1"/>
  <c r="AD178"/>
  <c r="Y178"/>
  <c r="Y14" s="1"/>
  <c r="X179"/>
  <c r="X178" s="1"/>
  <c r="X14" s="1"/>
  <c r="AA885"/>
  <c r="AA884"/>
  <c r="AA13"/>
  <c r="P885"/>
  <c r="O885"/>
  <c r="O13"/>
  <c r="O884"/>
  <c r="Q884"/>
  <c r="Q885"/>
  <c r="Q13"/>
  <c r="P13" l="1"/>
  <c r="N13"/>
  <c r="AE13"/>
  <c r="AE885"/>
  <c r="N884"/>
  <c r="AH14"/>
  <c r="AN14"/>
  <c r="AO884"/>
  <c r="AO13"/>
  <c r="AO885"/>
  <c r="AJ884"/>
  <c r="AJ13"/>
  <c r="AJ885"/>
  <c r="AM14"/>
  <c r="AI14"/>
  <c r="Y885"/>
  <c r="Y13"/>
  <c r="Y884"/>
  <c r="AD14"/>
  <c r="X885"/>
  <c r="X895" s="1"/>
  <c r="X13"/>
  <c r="X884"/>
  <c r="AC14"/>
  <c r="N890"/>
  <c r="N895"/>
  <c r="AM885" l="1"/>
  <c r="AM895" s="1"/>
  <c r="AM884"/>
  <c r="AM13"/>
  <c r="AH885"/>
  <c r="AH895" s="1"/>
  <c r="AH884"/>
  <c r="AH13"/>
  <c r="AI885"/>
  <c r="AI884"/>
  <c r="AI13"/>
  <c r="AN884"/>
  <c r="AN13"/>
  <c r="AN885"/>
  <c r="AC885"/>
  <c r="AC895" s="1"/>
  <c r="AC13"/>
  <c r="AC884"/>
  <c r="AD884"/>
  <c r="AD885"/>
  <c r="AD13"/>
</calcChain>
</file>

<file path=xl/sharedStrings.xml><?xml version="1.0" encoding="utf-8"?>
<sst xmlns="http://schemas.openxmlformats.org/spreadsheetml/2006/main" count="2690" uniqueCount="1316">
  <si>
    <t>Финансовый орган субъекта Российской Федерации</t>
  </si>
  <si>
    <t>Единица измерения: тыс. руб. (с точностью до первого десятичного знака)</t>
  </si>
  <si>
    <t>Код строки</t>
  </si>
  <si>
    <t>наимено-вание, номер и дата</t>
  </si>
  <si>
    <t>номер статьи (подста-тьи), пункта (подпун-кта)</t>
  </si>
  <si>
    <t>дата вступле-ния в силу, срок действия</t>
  </si>
  <si>
    <t>2</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</si>
  <si>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</si>
  <si>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</si>
  <si>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</si>
  <si>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в том числе:</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</si>
  <si>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</si>
  <si>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2.1.2. установление, изменение и отмена местных налогов и сборов городского округа</t>
  </si>
  <si>
    <t>2.1.3. владение, пользование и распоряжение имуществом, находящимся в муниципальной собственности городского округа</t>
  </si>
  <si>
    <t>АПБ</t>
  </si>
  <si>
    <t xml:space="preserve">ст.16,17 ФЗ от 10.03.99 № 131-ФЗ "Об общих принципах организации местного самоуправления в РФ". </t>
  </si>
  <si>
    <t>ст.16,17</t>
  </si>
  <si>
    <t>01.01.2009, без срока</t>
  </si>
  <si>
    <t>Закон Красноярского края от 05.06.2008 № 5-1732 "О порядке безвозмездной передачи в муниципальную собственность имущества, находящегося в государственной собственности края, и безвозмездного приема имущества, находящегося в муниципальной собственности, в государственную собственность края"</t>
  </si>
  <si>
    <t>ст.в целом</t>
  </si>
  <si>
    <t>01.07.2008 - не установ</t>
  </si>
  <si>
    <t>Устав городского округа город Дивногорск Красноярского края</t>
  </si>
  <si>
    <t>ст.7 п.3</t>
  </si>
  <si>
    <t>24.12.1995 - не установлен</t>
  </si>
  <si>
    <t>0412
1010088030,244</t>
  </si>
  <si>
    <t>0412
1020088020,244</t>
  </si>
  <si>
    <t>0412
0550087140,244</t>
  </si>
  <si>
    <t>0412
0550087015,414</t>
  </si>
  <si>
    <r>
      <rPr>
        <b/>
        <sz val="8"/>
        <rFont val="Times New Roman"/>
        <family val="1"/>
        <charset val="204"/>
      </rPr>
      <t>адм</t>
    </r>
    <r>
      <rPr>
        <sz val="8"/>
        <rFont val="Times New Roman"/>
        <family val="1"/>
        <charset val="204"/>
      </rPr>
      <t xml:space="preserve"> долг за э\э по и\л</t>
    </r>
  </si>
  <si>
    <t>0113
8210084080,244</t>
  </si>
  <si>
    <t>адм</t>
  </si>
  <si>
    <t>0113
8210084080,247</t>
  </si>
  <si>
    <t>0113
8210084070.244</t>
  </si>
  <si>
    <t>0113
8210084070,247</t>
  </si>
  <si>
    <t>Федеральный закон от 21.12.2001 № 178-ФЗ "О приватизации государственного и муниципального имущества"</t>
  </si>
  <si>
    <t xml:space="preserve">ст.3 </t>
  </si>
  <si>
    <t>28.04.2002 - не установ</t>
  </si>
  <si>
    <t>Закон Красноярского края от 26.05.2009 № 8-3290 "О порядке разграничения имущества между муниципальными образованиями края"</t>
  </si>
  <si>
    <t>20.06.2009 - не установ</t>
  </si>
  <si>
    <t>0412
10100S6910.244</t>
  </si>
  <si>
    <t xml:space="preserve">адм </t>
  </si>
  <si>
    <t>Федеральный закон от 21.07.2007 № 185-ФЗ "О Фонде содействия реформированию жилищно-коммунального хозяйства"</t>
  </si>
  <si>
    <t>ст.14</t>
  </si>
  <si>
    <t>07.08.2007 - не установ</t>
  </si>
  <si>
    <t>Постановление  администрации Красноярского  края от 06.04.2000 № 255-п "Об утверждении Положения по установлению ставок для проведения паспортизации и плановой технической инвентаризации жилых строений и жилых помещений"</t>
  </si>
  <si>
    <t>30.04.2000 - не установ</t>
  </si>
  <si>
    <t>Постановление Правительства РФ от 13.10.1997 № 1301 "О государственном учете жилищного фонда в Российской Федерации"</t>
  </si>
  <si>
    <t>30.10.1997 - не установ</t>
  </si>
  <si>
    <t xml:space="preserve">Постановление Совета администрации Красноярского края от 29.12.2007 № 512-п "О нормативах формирования расходов на оплату труда депутатов,выборных долдностных лиц местного самоуправления, осуществляющие свои полномочия на постоянной основе, лиц, замещающих иные муниципальные должности, и муниципальных служащих" </t>
  </si>
  <si>
    <t>01.01.2008 - не установ</t>
  </si>
  <si>
    <t>0113
1010088010,244</t>
  </si>
  <si>
    <t>0113
1010088010,852</t>
  </si>
  <si>
    <t>0104
8210080030.831</t>
  </si>
  <si>
    <r>
      <rPr>
        <b/>
        <sz val="8"/>
        <rFont val="Times New Roman"/>
        <family val="1"/>
        <charset val="204"/>
      </rPr>
      <t>адм</t>
    </r>
    <r>
      <rPr>
        <sz val="8"/>
        <rFont val="Times New Roman"/>
        <family val="1"/>
        <charset val="204"/>
      </rPr>
      <t xml:space="preserve"> разработка нпд-Лиственка</t>
    </r>
  </si>
  <si>
    <t>0412
8210086110,244</t>
  </si>
  <si>
    <t>0412
8210086210,244</t>
  </si>
  <si>
    <t>ФУ</t>
  </si>
  <si>
    <t>ГК РФ (ч.2) №14-ФЗ от 26.01.1996</t>
  </si>
  <si>
    <t>ст.1069,       1070</t>
  </si>
  <si>
    <t>с 01.03.1996</t>
  </si>
  <si>
    <t>Устав МО город Дивногорск, принят 17.12.1995,Распоряжение администрации города Дивногорска от 01.12.2017 №2696р, от 09.04.18 №832р, от 13.04.18 №856р, от 05.07.18 №1577р,1576р, от17.09.18 №2088р "Об исполнении требований исполнительного документа", ,Распоряжение администрации города Дивногорска от 01.12.2017 №2696р "Об исполнении требований исполнительного документа"</t>
  </si>
  <si>
    <t xml:space="preserve"> п.28 ст.43 Устава</t>
  </si>
  <si>
    <t xml:space="preserve">   Изменения и дополнения, внесенные в устав муниципального образования вступают в силу после истечения срока полномочий представительного органа муниципального образования, </t>
  </si>
  <si>
    <t>0113
8210080020,831</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</si>
  <si>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</si>
  <si>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ГХ</t>
  </si>
  <si>
    <t>Постановление  администрации Красноярского  края от 24.05.1999 № 286-п "О Концепции реформирования и модернизации жилищно-коммунального хозяйства Красноярского края"</t>
  </si>
  <si>
    <t>ст. в целом</t>
  </si>
  <si>
    <t>24.05.1999 - не установ</t>
  </si>
  <si>
    <t>ст.7 п.4</t>
  </si>
  <si>
    <t>0502
0810075710,243,244</t>
  </si>
  <si>
    <t>0502
0810075750,414</t>
  </si>
  <si>
    <t>0502
085007572,414</t>
  </si>
  <si>
    <t>0502
085007572,415</t>
  </si>
  <si>
    <t>0502
0850083080,244</t>
  </si>
  <si>
    <t>0502
085F552431,410</t>
  </si>
  <si>
    <t>0502
0810084010,811</t>
  </si>
  <si>
    <t>0502
0810086130,414</t>
  </si>
  <si>
    <t>0502
0810086130,415</t>
  </si>
  <si>
    <t>0502
0810089480,243</t>
  </si>
  <si>
    <t>0502
0810085710.244</t>
  </si>
  <si>
    <t>0502
08100S5710,243,244</t>
  </si>
  <si>
    <t>0502
08100S5710,244</t>
  </si>
  <si>
    <t>0502
08100S5750,414</t>
  </si>
  <si>
    <t>0502
08500S5720,414</t>
  </si>
  <si>
    <t>0502
0830084090.244</t>
  </si>
  <si>
    <t>0502
08100S6640.243</t>
  </si>
  <si>
    <t>0502
0810075710,410</t>
  </si>
  <si>
    <t>0502
0850075720,410</t>
  </si>
  <si>
    <t>0502
0850085720,244</t>
  </si>
  <si>
    <t>0502
0850086170,414</t>
  </si>
  <si>
    <t>Федеральный закон от 30.12.2004 № 210-ФЗ "Об основах регулирования тарифов организаций коммунального комплекса"</t>
  </si>
  <si>
    <t>ст. 5</t>
  </si>
  <si>
    <t>01.01.2006 - не установ</t>
  </si>
  <si>
    <t>0502
8210084080.244</t>
  </si>
  <si>
    <t>0502
8210088950,853</t>
  </si>
  <si>
    <t>0502
0810089480.243</t>
  </si>
  <si>
    <t>0502
081008948.244</t>
  </si>
  <si>
    <t>апб</t>
  </si>
  <si>
    <t>0502
0850089080,244</t>
  </si>
  <si>
    <t>0502
0850089420,244</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</si>
  <si>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</si>
  <si>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</si>
  <si>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 13, 34
ст.6, пункт 9</t>
  </si>
  <si>
    <t>12.11.2007 - не установ</t>
  </si>
  <si>
    <t>Закон Красноярского края от 10.11.2011 № 13-6411 "О дорожном фонде Красноярского края"</t>
  </si>
  <si>
    <t>01.01.2012 - не установ</t>
  </si>
  <si>
    <t>ст.7 п.5</t>
  </si>
  <si>
    <r>
      <t xml:space="preserve">0409
</t>
    </r>
    <r>
      <rPr>
        <b/>
        <sz val="8"/>
        <rFont val="Times New Roman"/>
        <family val="1"/>
        <charset val="204"/>
      </rPr>
      <t>07100SD14</t>
    </r>
    <r>
      <rPr>
        <sz val="8"/>
        <rFont val="Times New Roman"/>
        <family val="1"/>
        <charset val="204"/>
      </rPr>
      <t>0,244</t>
    </r>
  </si>
  <si>
    <t>0409
07100S3950,414/244</t>
  </si>
  <si>
    <t>ст. 16.17</t>
  </si>
  <si>
    <t>01.01.2009.без срока</t>
  </si>
  <si>
    <r>
      <rPr>
        <b/>
        <sz val="8"/>
        <rFont val="Times New Roman"/>
        <family val="1"/>
        <charset val="204"/>
      </rPr>
      <t>0409</t>
    </r>
    <r>
      <rPr>
        <sz val="8"/>
        <rFont val="Times New Roman"/>
        <family val="1"/>
        <charset val="204"/>
      </rPr>
      <t xml:space="preserve">
0710075070,</t>
    </r>
    <r>
      <rPr>
        <b/>
        <sz val="8"/>
        <rFont val="Times New Roman"/>
        <family val="1"/>
        <charset val="204"/>
      </rPr>
      <t>244</t>
    </r>
  </si>
  <si>
    <t>0409
0710075080</t>
  </si>
  <si>
    <r>
      <t xml:space="preserve">0409
</t>
    </r>
    <r>
      <rPr>
        <b/>
        <sz val="8"/>
        <rFont val="Times New Roman"/>
        <family val="1"/>
        <charset val="204"/>
      </rPr>
      <t>07100SD160</t>
    </r>
    <r>
      <rPr>
        <sz val="8"/>
        <rFont val="Times New Roman"/>
        <family val="1"/>
        <charset val="204"/>
      </rPr>
      <t>,244</t>
    </r>
  </si>
  <si>
    <t>0409
0810080040,853</t>
  </si>
  <si>
    <t>0409
8310080040,853</t>
  </si>
  <si>
    <t>0409
0710085080,244</t>
  </si>
  <si>
    <t>0409
0710008580,244</t>
  </si>
  <si>
    <t>0409
0710088040,044</t>
  </si>
  <si>
    <t>0409
0710088070</t>
  </si>
  <si>
    <t>0409
0710086080,244</t>
  </si>
  <si>
    <t>0409
0710088170,244</t>
  </si>
  <si>
    <t>0409
0710089070</t>
  </si>
  <si>
    <t>0409
0710089360,244</t>
  </si>
  <si>
    <t>0409
0710089370,244</t>
  </si>
  <si>
    <t>0409
0710089380,244</t>
  </si>
  <si>
    <t>0409
0710089080,244</t>
  </si>
  <si>
    <t>0409
0710089090,244</t>
  </si>
  <si>
    <t>0409
07100S5070,244</t>
  </si>
  <si>
    <t>0409
07100S5080</t>
  </si>
  <si>
    <t>0409
07100S5090,244</t>
  </si>
  <si>
    <t>0409
073R374270,244</t>
  </si>
  <si>
    <t>0409
07100S6640.244</t>
  </si>
  <si>
    <t>0409
0710077450.244</t>
  </si>
  <si>
    <t>0409
0710083210,244</t>
  </si>
  <si>
    <t>0409
,073R374920,</t>
  </si>
  <si>
    <t>0409
073R310601,244</t>
  </si>
  <si>
    <t>0409
111F255550,631</t>
  </si>
  <si>
    <t>0409
1110088590,244</t>
  </si>
  <si>
    <t>0409
0730089310</t>
  </si>
  <si>
    <t>0409
0730089510,244</t>
  </si>
  <si>
    <t>0409
0730089600,244</t>
  </si>
  <si>
    <t>0409
0710089180</t>
  </si>
  <si>
    <t>0409
0710089190</t>
  </si>
  <si>
    <t>0409
0730089300</t>
  </si>
  <si>
    <t>0409
0730089400</t>
  </si>
  <si>
    <t>0409
0730089500,244</t>
  </si>
  <si>
    <t>0409
07300S4920</t>
  </si>
  <si>
    <t>0409
0710078400,244</t>
  </si>
  <si>
    <t>0409
07100S8400,244</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</si>
  <si>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</si>
  <si>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Федеральный закон №185-ФЗ от 21.07.2007 «О Фонде  содействия реформированию жилищно-коммунального хозяйства» (далее Фонд); Постановление Правительства Российской Федерации от 30.12.2017 №1710 «Об утверждении государственной программы «Обеспечение доступным и комфортным жильем и коммунальными услугами граждан Российской Федерации»</t>
  </si>
  <si>
    <t>в целом</t>
  </si>
  <si>
    <t>ст.7 п.6</t>
  </si>
  <si>
    <t>0113
05500S6080,414</t>
  </si>
  <si>
    <t>0113
550086080,414</t>
  </si>
  <si>
    <t>0113
0550076080,414</t>
  </si>
  <si>
    <t>0501
0530076030,412</t>
  </si>
  <si>
    <t>0501
05300S6030,412</t>
  </si>
  <si>
    <r>
      <t>0501
0530009502</t>
    </r>
    <r>
      <rPr>
        <b/>
        <sz val="8"/>
        <rFont val="Times New Roman"/>
        <family val="1"/>
        <charset val="204"/>
      </rPr>
      <t>,414</t>
    </r>
  </si>
  <si>
    <t>0501
0530009602,414</t>
  </si>
  <si>
    <t>0501
0530086070,414</t>
  </si>
  <si>
    <t>0501
0501
0530087050,414</t>
  </si>
  <si>
    <r>
      <t>0501
0530087060,</t>
    </r>
    <r>
      <rPr>
        <b/>
        <sz val="8"/>
        <rFont val="Times New Roman"/>
        <family val="1"/>
        <charset val="204"/>
      </rPr>
      <t>414</t>
    </r>
  </si>
  <si>
    <t>0501
0530087480,412</t>
  </si>
  <si>
    <t>0501
053008879,412</t>
  </si>
  <si>
    <t>0501
0550086010,414</t>
  </si>
  <si>
    <t>0501
0550087120,414</t>
  </si>
  <si>
    <t>0501
0550087130,244</t>
  </si>
  <si>
    <t>0505
0550087130,244</t>
  </si>
  <si>
    <t>0502
0520074610,414</t>
  </si>
  <si>
    <t>0502
05200S4610,414</t>
  </si>
  <si>
    <t>0502
0520086010,414</t>
  </si>
  <si>
    <t>0502
0520088690,414</t>
  </si>
  <si>
    <t>0501
0530088790,412</t>
  </si>
  <si>
    <r>
      <t>0501
053F367483/</t>
    </r>
    <r>
      <rPr>
        <b/>
        <sz val="8"/>
        <rFont val="Times New Roman"/>
        <family val="1"/>
        <charset val="204"/>
      </rPr>
      <t>053И267483</t>
    </r>
    <r>
      <rPr>
        <sz val="8"/>
        <rFont val="Times New Roman"/>
        <family val="1"/>
        <charset val="204"/>
      </rPr>
      <t>,410</t>
    </r>
  </si>
  <si>
    <r>
      <t>0501
053F367483</t>
    </r>
    <r>
      <rPr>
        <b/>
        <sz val="8"/>
        <rFont val="Times New Roman"/>
        <family val="1"/>
        <charset val="204"/>
      </rPr>
      <t>/053И267483</t>
    </r>
    <r>
      <rPr>
        <sz val="8"/>
        <rFont val="Times New Roman"/>
        <family val="1"/>
        <charset val="204"/>
      </rPr>
      <t>,853</t>
    </r>
  </si>
  <si>
    <r>
      <t>0501
053F367484</t>
    </r>
    <r>
      <rPr>
        <b/>
        <sz val="8"/>
        <rFont val="Times New Roman"/>
        <family val="1"/>
        <charset val="204"/>
      </rPr>
      <t>/053И267484</t>
    </r>
    <r>
      <rPr>
        <sz val="8"/>
        <rFont val="Times New Roman"/>
        <family val="1"/>
        <charset val="204"/>
      </rPr>
      <t>,410</t>
    </r>
  </si>
  <si>
    <r>
      <t>0501
053F367484.</t>
    </r>
    <r>
      <rPr>
        <b/>
        <sz val="8"/>
        <rFont val="Times New Roman"/>
        <family val="1"/>
        <charset val="204"/>
      </rPr>
      <t>053И267484</t>
    </r>
    <r>
      <rPr>
        <sz val="8"/>
        <rFont val="Times New Roman"/>
        <family val="1"/>
        <charset val="204"/>
      </rPr>
      <t>,853</t>
    </r>
  </si>
  <si>
    <t>0501
053F36748S,410</t>
  </si>
  <si>
    <t>0501
053F36748S,853</t>
  </si>
  <si>
    <t xml:space="preserve">0501
0530088602,244
</t>
  </si>
  <si>
    <t xml:space="preserve">Соглашение о предоставлении субсидии муниципальному образованию Красноярского края из краевого бюджета от </t>
  </si>
  <si>
    <t>29.03.2019-31.12.2025</t>
  </si>
  <si>
    <r>
      <t>0501
0830084060,</t>
    </r>
    <r>
      <rPr>
        <b/>
        <sz val="8"/>
        <rFont val="Times New Roman"/>
        <family val="1"/>
        <charset val="204"/>
      </rPr>
      <t>244</t>
    </r>
  </si>
  <si>
    <r>
      <t>0501
0810084060,</t>
    </r>
    <r>
      <rPr>
        <b/>
        <sz val="8"/>
        <rFont val="Times New Roman"/>
        <family val="1"/>
        <charset val="204"/>
      </rPr>
      <t>853</t>
    </r>
  </si>
  <si>
    <t>0501
0810084070,244</t>
  </si>
  <si>
    <t>0501
0810087190,244</t>
  </si>
  <si>
    <t>0501
0840087010,244</t>
  </si>
  <si>
    <t>0501
0840087030,244</t>
  </si>
  <si>
    <t>Федеральный закон от 06.10.2003 № 131-ФЗ "Об общих принципах организации местного самоуправления в Российской Федерации"</t>
  </si>
  <si>
    <t>ст.16; пункт 1, п/пункт 6</t>
  </si>
  <si>
    <t>01.01.2009 - не установ</t>
  </si>
  <si>
    <t>0501
8210010110.811</t>
  </si>
  <si>
    <t>0501
8210082480,244</t>
  </si>
  <si>
    <r>
      <rPr>
        <b/>
        <sz val="8"/>
        <rFont val="Times New Roman"/>
        <family val="1"/>
        <charset val="204"/>
      </rPr>
      <t>адм</t>
    </r>
    <r>
      <rPr>
        <sz val="8"/>
        <rFont val="Times New Roman"/>
        <family val="1"/>
        <charset val="204"/>
      </rPr>
      <t xml:space="preserve"> (опл за мун.жилье по суд.иску)</t>
    </r>
  </si>
  <si>
    <t>0502
8210084070,244</t>
  </si>
  <si>
    <t>0502
8210084070,247</t>
  </si>
  <si>
    <t>0501
8210084070,247</t>
  </si>
  <si>
    <t>адм (приобр жилищ помещ маневр ф-да)</t>
  </si>
  <si>
    <t>0501
8210087650,412</t>
  </si>
  <si>
    <t>1003
05400L0200,322</t>
  </si>
  <si>
    <t>Постановление Правительства Красноярского края</t>
  </si>
  <si>
    <t>514-п</t>
  </si>
  <si>
    <t>Решение городского Совета депутатов "О бюджете города Дивногорска на 2024г. И пл пер 2025-2056гг"</t>
  </si>
  <si>
    <t>42-252-гс</t>
  </si>
  <si>
    <t>1003
05400L 4970,322</t>
  </si>
  <si>
    <t>Постановление Красноярского края "Об утверждении распределения субсидий бюджетам МО Красн.кр.на предоставление социальных выплат молодым семьям на приобретение (строительство) жилья на 2024 год и пл пер 2025-2026гг"</t>
  </si>
  <si>
    <t>50-п</t>
  </si>
  <si>
    <t>0412
82100L5110,244</t>
  </si>
  <si>
    <t>0412
05500870010,244</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</si>
  <si>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</si>
  <si>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 xml:space="preserve">Постановление  администрации Красноярского  края от 24.09.2001 № 670-п "О государственном регулировании цен (тарифов) в крае" </t>
  </si>
  <si>
    <t>14.10.2001 - не установ</t>
  </si>
  <si>
    <t>ст.7 п.7</t>
  </si>
  <si>
    <t>0408
0720074020,811</t>
  </si>
  <si>
    <t>Закон Красноярского края от 09.12.2010 № 11-5424 "О транспортном обслуживании населения в Красноярском крае"</t>
  </si>
  <si>
    <t>ст. 7</t>
  </si>
  <si>
    <t>08.01.2011 - не установ</t>
  </si>
  <si>
    <t>Постановление адм г.Дивногорска от 24.03.2021 "Об утверждении Порядка предоставления субсидий из бюджета города на возмещение недополученных доходов, возникающих в результате небольшой интенсивности пассажиропотоков, организаций, выполняющихперевозки пассажиров автомобильным транспортом по муниципальным маршрутам регулярных пассажирских перевозок на 2021 г и пл пер 2022-2023гг"</t>
  </si>
  <si>
    <t>0408
0720088060,244</t>
  </si>
  <si>
    <t>0408
0720088060,811</t>
  </si>
  <si>
    <t>2.1.16. участие в предупреждении и ликвидации последствий чрезвычайных ситуаций в границах городского округа</t>
  </si>
  <si>
    <t>ФЗ от 06.10.2003 №131"Об общих принципах организации местного самоуправления в РФ"</t>
  </si>
  <si>
    <t>ст.15</t>
  </si>
  <si>
    <t>Закон Красноярского края от 02.11.2001 № 16-1558 "О резервах материально-технических ресурсов для ликвидации чрезвычайных ситуаций на территории Красноярского края"</t>
  </si>
  <si>
    <t>ст.11</t>
  </si>
  <si>
    <t>03.12.2001 - не установ</t>
  </si>
  <si>
    <t xml:space="preserve">Устав городского округа грод Дивногорск </t>
  </si>
  <si>
    <t>ст.7 п.8; 
38.43.52</t>
  </si>
  <si>
    <t>24.12.1995 - не установлен
в целом</t>
  </si>
  <si>
    <t>0111
8210088930,870</t>
  </si>
  <si>
    <t>фу</t>
  </si>
  <si>
    <t>Закон Красноярского края от 10.02.2000 № 9-631 "О защите населения и территории Красноярского края от чрезвычайных ситуаций природного и техногенного характера"</t>
  </si>
  <si>
    <t>ст.9, пункт 1, п/пункт "и"</t>
  </si>
  <si>
    <t>01.03.2000 - не установ</t>
  </si>
  <si>
    <t>Решение Дивногорского городского Совета депутатов от 13.11.2024 №52-314-нпа</t>
  </si>
  <si>
    <t>ст.38.43.52</t>
  </si>
  <si>
    <t>0111
8210089910,870</t>
  </si>
  <si>
    <t>Постановление Администрации города Дивногорска от 28.08.2025 №108п "Об утверждении Порядка использования бюджетных ассигнований резервного фонда администрации города Дивногорска"</t>
  </si>
  <si>
    <t>0412
8210088990,870</t>
  </si>
  <si>
    <t>0113
8210077440,244</t>
  </si>
  <si>
    <t>гх</t>
  </si>
  <si>
    <t>0309
0840086090,244</t>
  </si>
  <si>
    <t>Федеральный закон от 21.12.1994 № 68-ФЗ "О защите населения и территорий от чрезвычайных ситуаций природного и техногенного характера"</t>
  </si>
  <si>
    <t>ст.11, пункт 2</t>
  </si>
  <si>
    <t>24.12.1994 - не установ</t>
  </si>
  <si>
    <t>310
0820087070,244</t>
  </si>
  <si>
    <t>0310
0820087080</t>
  </si>
  <si>
    <t>O310
8310080040.853</t>
  </si>
  <si>
    <t>0309
0820089340,244</t>
  </si>
  <si>
    <t>0310
0820083130,244</t>
  </si>
  <si>
    <t>0310
0820087070,244</t>
  </si>
  <si>
    <t>О106
094008021,870</t>
  </si>
  <si>
    <t>2.1.19. обеспечение первичных мер пожарной безопасности в границах городского округа</t>
  </si>
  <si>
    <t>администрация</t>
  </si>
  <si>
    <t>Федеральный закон от 21.12.1994 № 69-ФЗ "О пожарной безопасности"</t>
  </si>
  <si>
    <t>ст.10;абз.3
ст.19
ст.31;абз.2</t>
  </si>
  <si>
    <t>05.01.1995 - не установ</t>
  </si>
  <si>
    <t>ст.7 п.10</t>
  </si>
  <si>
    <t>0310
0820074120,244</t>
  </si>
  <si>
    <t>0310
0820076750,244</t>
  </si>
  <si>
    <t>0310
0820089010,244</t>
  </si>
  <si>
    <t>0310
0820089030,244</t>
  </si>
  <si>
    <t>0310
0820089090,244</t>
  </si>
  <si>
    <t>0310
08200S4120,244</t>
  </si>
  <si>
    <t>0310
08200S6750,244</t>
  </si>
  <si>
    <t>2.1.21.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</si>
  <si>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Обр</t>
  </si>
  <si>
    <t>ст.16, пункт 1, п/пункт 13</t>
  </si>
  <si>
    <t>06.10.2003 - не установ</t>
  </si>
  <si>
    <t>Закон Красноярского края от 26.06.2014 № 6-2519 "Об образовании в Красноярском крае"</t>
  </si>
  <si>
    <t>26.07.2014 - не установ</t>
  </si>
  <si>
    <t>ст.7 п.12</t>
  </si>
  <si>
    <t>0701
0110073980,622</t>
  </si>
  <si>
    <t>Соглашение от 14.02.2025  «О предоставлении субсидии бюджету городского округа город Дивногорск на проведение зданий и сооружений организаций, реализующих образовательные программы дошкольного образования в соответстве с требованиями законодательства на 2025-2027годы</t>
  </si>
  <si>
    <t>В целом</t>
  </si>
  <si>
    <r>
      <t xml:space="preserve">0701
</t>
    </r>
    <r>
      <rPr>
        <b/>
        <sz val="8"/>
        <rFont val="Times New Roman"/>
        <family val="1"/>
        <charset val="204"/>
      </rPr>
      <t>01100S5820</t>
    </r>
    <r>
      <rPr>
        <sz val="8"/>
        <rFont val="Times New Roman"/>
        <family val="1"/>
        <charset val="204"/>
      </rPr>
      <t>,612</t>
    </r>
  </si>
  <si>
    <r>
      <t xml:space="preserve">0701
</t>
    </r>
    <r>
      <rPr>
        <b/>
        <sz val="8"/>
        <rFont val="Times New Roman"/>
        <family val="1"/>
        <charset val="204"/>
      </rPr>
      <t>01100S5840</t>
    </r>
    <r>
      <rPr>
        <sz val="8"/>
        <rFont val="Times New Roman"/>
        <family val="1"/>
        <charset val="204"/>
      </rPr>
      <t>,612</t>
    </r>
  </si>
  <si>
    <t>0701
011Я153150.612</t>
  </si>
  <si>
    <t>0701
0110077440,612</t>
  </si>
  <si>
    <t>0701
0110077450,611</t>
  </si>
  <si>
    <t>0701
0110077450,612</t>
  </si>
  <si>
    <t>0701
0110078400612</t>
  </si>
  <si>
    <t>0701
0110010340,611</t>
  </si>
  <si>
    <t>0701
0110010340,621</t>
  </si>
  <si>
    <t>Бюджетный кодекс Российской Федерации</t>
  </si>
  <si>
    <t>31.07.1998 - бессрочный</t>
  </si>
  <si>
    <t>0701
01100L 02710,612</t>
  </si>
  <si>
    <t>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t>
  </si>
  <si>
    <t>0701
0110080610,611</t>
  </si>
  <si>
    <t>0701
0110080610,612</t>
  </si>
  <si>
    <t>0701
0110080610,621</t>
  </si>
  <si>
    <t>0701
0110080611,622</t>
  </si>
  <si>
    <t>0701
0110080610,870</t>
  </si>
  <si>
    <t>0701
011008061Р,611</t>
  </si>
  <si>
    <t>0701
011008061Р,621</t>
  </si>
  <si>
    <t>0701
011008061Т,611</t>
  </si>
  <si>
    <t>0701
011008061Т,612</t>
  </si>
  <si>
    <t>0701
011008061Т,621</t>
  </si>
  <si>
    <t>0701
011008061Z,611</t>
  </si>
  <si>
    <t>0701
011008061Z,621</t>
  </si>
  <si>
    <t>0701
011008061Z,870</t>
  </si>
  <si>
    <t>0701
01100S3980,623</t>
  </si>
  <si>
    <t>0701
01100S5820,612</t>
  </si>
  <si>
    <t>0701
01100S8400,612</t>
  </si>
  <si>
    <t>0701
0110089560,612</t>
  </si>
  <si>
    <t>0701
0110089560,622</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</si>
  <si>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</si>
  <si>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ОБР</t>
  </si>
  <si>
    <t>Федеральный закон от 29.12.2012 № 273-ФЗ «Об образовании в Российской Федерации»</t>
  </si>
  <si>
    <t>статья 8</t>
  </si>
  <si>
    <t>01.09.2013 - бесрочный</t>
  </si>
  <si>
    <t>Закон Красноярского края от 02.11.2000 N 12-961 "О защите прав ребенка", Закон Красноярского края от 27.12.2005 N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t>
  </si>
  <si>
    <r>
      <t xml:space="preserve">1003
</t>
    </r>
    <r>
      <rPr>
        <b/>
        <sz val="8"/>
        <rFont val="Times New Roman"/>
        <family val="1"/>
        <charset val="204"/>
      </rPr>
      <t>01202S5830</t>
    </r>
    <r>
      <rPr>
        <sz val="8"/>
        <rFont val="Times New Roman"/>
        <family val="1"/>
        <charset val="204"/>
      </rPr>
      <t>,612</t>
    </r>
  </si>
  <si>
    <t>Постановление Правительства Красноярского края от 24.02.2015 N 65-п "Об утверждении Порядка учета и исчисления величины среднедушевого дохода семьи для определения права на получение мер социальной поддержки, предусмотренных пунктами 3, 4 статьи 11 Закона Красноярского края от 02.11.2000 N 12-961 "О защите прав ребенка"</t>
  </si>
  <si>
    <t>Постановление администрации города Дивногорска от 14.12.2016 № 246 п "Об утверждении Порядка обеспечения обучающихся в муниципальных общеобразовательных организациях по имеющим государственную аккредитацию основным общеобразовательным программам горячим завтраком и (или) горячим обедом без взимания платы»</t>
  </si>
  <si>
    <r>
      <t xml:space="preserve">1003
</t>
    </r>
    <r>
      <rPr>
        <b/>
        <sz val="8"/>
        <rFont val="Times New Roman"/>
        <family val="1"/>
        <charset val="204"/>
      </rPr>
      <t>01202S5830</t>
    </r>
    <r>
      <rPr>
        <sz val="8"/>
        <rFont val="Times New Roman"/>
        <family val="1"/>
        <charset val="204"/>
      </rPr>
      <t>,622</t>
    </r>
  </si>
  <si>
    <t>1003
01202S5830.870</t>
  </si>
  <si>
    <t>1003
01202S5830,612</t>
  </si>
  <si>
    <t xml:space="preserve">статья 179 </t>
  </si>
  <si>
    <t>статья 5</t>
  </si>
  <si>
    <t>01.01.2024 - 31.12.2026</t>
  </si>
  <si>
    <r>
      <t xml:space="preserve">0702
</t>
    </r>
    <r>
      <rPr>
        <b/>
        <sz val="8"/>
        <rFont val="Times New Roman"/>
        <family val="1"/>
        <charset val="204"/>
      </rPr>
      <t>012И573980,612</t>
    </r>
  </si>
  <si>
    <t>постановление Правительства Красноярского края от
19.09.2024 № 658-п «Об утверждении Методики распределения иных межбюджетных
трансфертов бюджетам муниципальных образований Красноярского края на выплату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 правил их предоставления»</t>
  </si>
  <si>
    <r>
      <t xml:space="preserve">0702
</t>
    </r>
    <r>
      <rPr>
        <b/>
        <sz val="8"/>
        <rFont val="Times New Roman"/>
        <family val="1"/>
        <charset val="204"/>
      </rPr>
      <t>012И573980,622</t>
    </r>
  </si>
  <si>
    <t>Соглашение о предоставлении иных межбюджетных трансфертов из бюджета
Красноярского края бюджету городского округа города Дивногорск на выплату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 в 2024 году № 04709000-1-2024-007 от 03.10.2024</t>
  </si>
  <si>
    <r>
      <t xml:space="preserve">0702
</t>
    </r>
    <r>
      <rPr>
        <b/>
        <sz val="8"/>
        <rFont val="Times New Roman"/>
        <family val="1"/>
        <charset val="204"/>
      </rPr>
      <t>01200Ю650500</t>
    </r>
    <r>
      <rPr>
        <sz val="8"/>
        <rFont val="Times New Roman"/>
        <family val="1"/>
        <charset val="204"/>
      </rPr>
      <t>,611</t>
    </r>
  </si>
  <si>
    <r>
      <t xml:space="preserve">0702
</t>
    </r>
    <r>
      <rPr>
        <b/>
        <sz val="8"/>
        <rFont val="Times New Roman"/>
        <family val="1"/>
        <charset val="204"/>
      </rPr>
      <t>01200Ю650500</t>
    </r>
    <r>
      <rPr>
        <sz val="8"/>
        <rFont val="Times New Roman"/>
        <family val="1"/>
        <charset val="204"/>
      </rPr>
      <t>,870</t>
    </r>
  </si>
  <si>
    <t>0702
01200L0500,612</t>
  </si>
  <si>
    <r>
      <t xml:space="preserve">0702
</t>
    </r>
    <r>
      <rPr>
        <b/>
        <sz val="8"/>
        <rFont val="Times New Roman"/>
        <family val="1"/>
        <charset val="204"/>
      </rPr>
      <t>012Ю650500</t>
    </r>
    <r>
      <rPr>
        <sz val="8"/>
        <rFont val="Times New Roman"/>
        <family val="1"/>
        <charset val="204"/>
      </rPr>
      <t>,621</t>
    </r>
  </si>
  <si>
    <t>0702
01200Ю653030.611</t>
  </si>
  <si>
    <r>
      <t xml:space="preserve">0702
</t>
    </r>
    <r>
      <rPr>
        <b/>
        <sz val="8"/>
        <rFont val="Times New Roman"/>
        <family val="1"/>
        <charset val="204"/>
      </rPr>
      <t>012Ю653030.621</t>
    </r>
  </si>
  <si>
    <t>0702
012Ю653030,870</t>
  </si>
  <si>
    <t>0702
0120074300,612</t>
  </si>
  <si>
    <t>обр</t>
  </si>
  <si>
    <t>0702
0120075630,622</t>
  </si>
  <si>
    <r>
      <t xml:space="preserve">0702
</t>
    </r>
    <r>
      <rPr>
        <b/>
        <sz val="8"/>
        <rFont val="Times New Roman"/>
        <family val="1"/>
        <charset val="204"/>
      </rPr>
      <t>01200S5630</t>
    </r>
    <r>
      <rPr>
        <sz val="8"/>
        <rFont val="Times New Roman"/>
        <family val="1"/>
        <charset val="204"/>
      </rPr>
      <t>,612</t>
    </r>
  </si>
  <si>
    <t>Соглашение  о предоставлении субсидии из бюджета Красногярского края бюджету городского округа город Дивногорск на реализацию мероприятий по модернезации школьных систем образования от 24.01.2024 № 04709000-1-2024-005</t>
  </si>
  <si>
    <r>
      <t>0702
01202L7502/</t>
    </r>
    <r>
      <rPr>
        <b/>
        <sz val="8"/>
        <rFont val="Times New Roman"/>
        <family val="1"/>
        <charset val="204"/>
      </rPr>
      <t>012Ю457502</t>
    </r>
    <r>
      <rPr>
        <sz val="8"/>
        <rFont val="Times New Roman"/>
        <family val="1"/>
        <charset val="204"/>
      </rPr>
      <t>,612</t>
    </r>
  </si>
  <si>
    <t>0702
0120077440,612</t>
  </si>
  <si>
    <t>0702
0120077450,612</t>
  </si>
  <si>
    <t>0702
0120077450,622</t>
  </si>
  <si>
    <t>0702
0120010340,611</t>
  </si>
  <si>
    <t>0702
0120010340,621</t>
  </si>
  <si>
    <t>0702
0120078400,612</t>
  </si>
  <si>
    <t>Закон Красноярского края от 10.07.2007 N 2-317 (ред. от 05.12.2019) "О межбюджетных отношениях в Красноярском крае" (подписан Губернатором Красноярского края 20.07.2007) (вместе с "Методикой определения расчетного объема дотации на выравнивание бюджетной обеспеченности бюджетов городских округов и консолидированных бюджетов муниципальных районов края", "Методикой распределения дотаций на выравнивание бюджетной обеспеченности поселений", "Методикой распределения дотаций на выравнивание бюджетной обеспеченности муниципальных районов (городских округов) и определения уровня расчетной бюджетной обеспеченности муниципальных районов (городских округов) после выравнивания", "Методикой расчета объема субсидии из бюджетов поселений в краевой бюджет", "Порядком определения объемов районных фондов...</t>
  </si>
  <si>
    <t>статья 10</t>
  </si>
  <si>
    <t>01.01.2008 - бессрочный</t>
  </si>
  <si>
    <t>0702
0120015980,612</t>
  </si>
  <si>
    <t>0702
0120015980,622</t>
  </si>
  <si>
    <t>0702
0120075590,612</t>
  </si>
  <si>
    <t>0702
0120075590,622</t>
  </si>
  <si>
    <t>0702
0120078400,622</t>
  </si>
  <si>
    <t>0702
0120078450,612</t>
  </si>
  <si>
    <t>0702
0120080610,110</t>
  </si>
  <si>
    <t>0702
0120080610,244</t>
  </si>
  <si>
    <t>0702
0120080610,870</t>
  </si>
  <si>
    <t>0702
0120088130,622</t>
  </si>
  <si>
    <t>0702
012E151690,244</t>
  </si>
  <si>
    <t>Постановление Правительства Красноярского края от 30.09.2013 N 508-п (ред. от 10.12.2019) "Об утверждении государственной программы Красноярского края "Развитие образования" (с изм. и доп., вступающими в силу с 01.01.2020), Постановление Правительства Красноярского края от 30.09.2015 N 495-п (ред. от 05.04.2018)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</si>
  <si>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01.01.2014-бессрочный, 01.01.2016-бессрочный</t>
  </si>
  <si>
    <t>0702
012E274300,612</t>
  </si>
  <si>
    <t>0702
012E151690,612</t>
  </si>
  <si>
    <t>0702
012E151690,620</t>
  </si>
  <si>
    <t>0702
012E452100,244</t>
  </si>
  <si>
    <t>0702
012E452100,610</t>
  </si>
  <si>
    <t>0702
012E452100,620</t>
  </si>
  <si>
    <r>
      <t xml:space="preserve">0702
</t>
    </r>
    <r>
      <rPr>
        <b/>
        <sz val="8"/>
        <rFont val="Times New Roman"/>
        <family val="1"/>
        <charset val="204"/>
      </rPr>
      <t>012Ю651790,</t>
    </r>
    <r>
      <rPr>
        <sz val="8"/>
        <rFont val="Times New Roman"/>
        <family val="1"/>
        <charset val="204"/>
      </rPr>
      <t>611</t>
    </r>
  </si>
  <si>
    <t>Постановление Правительства Красноярского края от 30 января 2023 г. N 58-п
"Об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t>
  </si>
  <si>
    <r>
      <t xml:space="preserve">0702
</t>
    </r>
    <r>
      <rPr>
        <b/>
        <sz val="8"/>
        <rFont val="Times New Roman"/>
        <family val="1"/>
        <charset val="204"/>
      </rPr>
      <t>012Ю651790</t>
    </r>
    <r>
      <rPr>
        <sz val="8"/>
        <rFont val="Times New Roman"/>
        <family val="1"/>
        <charset val="204"/>
      </rPr>
      <t>,621</t>
    </r>
  </si>
  <si>
    <r>
      <t xml:space="preserve">0702
</t>
    </r>
    <r>
      <rPr>
        <b/>
        <sz val="8"/>
        <rFont val="Times New Roman"/>
        <family val="1"/>
        <charset val="204"/>
      </rPr>
      <t>012Ю651790</t>
    </r>
    <r>
      <rPr>
        <sz val="8"/>
        <rFont val="Times New Roman"/>
        <family val="1"/>
        <charset val="204"/>
      </rPr>
      <t>,870</t>
    </r>
  </si>
  <si>
    <t>0702
012Ю455590.244</t>
  </si>
  <si>
    <t>0702
0120080610,611</t>
  </si>
  <si>
    <t>0702
0120080610,612</t>
  </si>
  <si>
    <t>0702
0120080610,621,622</t>
  </si>
  <si>
    <t>0702
0120080610,852,853</t>
  </si>
  <si>
    <t>0702
012008061T,611,612</t>
  </si>
  <si>
    <t>0702
012008061T,621,622</t>
  </si>
  <si>
    <t>0702
012008061Z,611</t>
  </si>
  <si>
    <t>0702
012008061Z,621</t>
  </si>
  <si>
    <t>0702
012008061Z,870</t>
  </si>
  <si>
    <t>0702
0120088760,622</t>
  </si>
  <si>
    <t>0702
0120088770,612</t>
  </si>
  <si>
    <t>0702
0120088780,612</t>
  </si>
  <si>
    <t>0702
0120074200,612</t>
  </si>
  <si>
    <t>0702
0120074700,612</t>
  </si>
  <si>
    <t>0702
01200S4040,612</t>
  </si>
  <si>
    <t>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t>
  </si>
  <si>
    <t>01.01.2016 - бессрочный</t>
  </si>
  <si>
    <t>0702
01200S4200,612</t>
  </si>
  <si>
    <t>0702
01200S8400,622</t>
  </si>
  <si>
    <t>0702
01200S8400,612</t>
  </si>
  <si>
    <t>0702
01200S4300,612</t>
  </si>
  <si>
    <t>0702
01200S4700,612</t>
  </si>
  <si>
    <t>0702
01200S5590,612</t>
  </si>
  <si>
    <t>0702
01200S5630,622</t>
  </si>
  <si>
    <t>0702
01200S5630,612</t>
  </si>
  <si>
    <t>0702
01200S5980,612</t>
  </si>
  <si>
    <t>0702
01200S5980,622</t>
  </si>
  <si>
    <t>0702
01200S8450,612</t>
  </si>
  <si>
    <t>0702
0120088130,244</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</si>
  <si>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</si>
  <si>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обр д/с17</t>
  </si>
  <si>
    <t>0703
01200S5680.614</t>
  </si>
  <si>
    <t>0703
01100S56800.624</t>
  </si>
  <si>
    <t>0703
0120080620,611</t>
  </si>
  <si>
    <t>0703
0120080620,614</t>
  </si>
  <si>
    <t>0703
012008062T,611</t>
  </si>
  <si>
    <t>01.01.2024- 31.12.2026</t>
  </si>
  <si>
    <t>0703
012008062T,614</t>
  </si>
  <si>
    <t>Обр  ддт</t>
  </si>
  <si>
    <t>0703
012008062Z,611</t>
  </si>
  <si>
    <t>0703
012008062Z,614</t>
  </si>
  <si>
    <t>0703
0120080620,612</t>
  </si>
  <si>
    <t>0703
0120078400,612</t>
  </si>
  <si>
    <t>0703
01200S8400,612</t>
  </si>
  <si>
    <r>
      <t xml:space="preserve">Постановление администрации города Дивногорска от 02.11.2020 </t>
    </r>
    <r>
      <rPr>
        <i/>
        <sz val="8"/>
        <rFont val="Times New Roman Cyr"/>
        <charset val="204"/>
      </rPr>
      <t>№ 176п "Об утверждении Правил персанифицированного финансирования дополнительного образования детей в городском округе города Дивногорск", Постановление администрации города Дивногорска от 02.11.2020 № 177п "О внесении изменений в постановление администрации города Дивногорска от 18.11.2015 № 182п "Об утверждении Порядка формирования муниципального задания в отношении муниципальных учреждений и финансового обеспечения выполнения муниципального задания"</t>
    </r>
  </si>
  <si>
    <t>0703
012008065Е,611</t>
  </si>
  <si>
    <t>0703
012008065Е,614</t>
  </si>
  <si>
    <t>0703
012008065Е,633</t>
  </si>
  <si>
    <t>0703
012008065Е,613</t>
  </si>
  <si>
    <t xml:space="preserve">Распоряжение Правительства Красноярского края от 18.09.2020 N 670-р &lt;О внедрении системы персонифицированного финансирования дополнительного образования детей в Красноярском крае&gt;, </t>
  </si>
  <si>
    <t>0703
012008065Е,615</t>
  </si>
  <si>
    <t>0703
012008065Е,623</t>
  </si>
  <si>
    <t>0703
012008065Е,625</t>
  </si>
  <si>
    <t>0703
012008065E,635</t>
  </si>
  <si>
    <t>0703
01200S065E,614</t>
  </si>
  <si>
    <t>0703
0120010340,611</t>
  </si>
  <si>
    <t>0703
012008065Е,813</t>
  </si>
  <si>
    <t>0703
012008065Е,816</t>
  </si>
  <si>
    <t>0703
0120075680,614</t>
  </si>
  <si>
    <t>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задания",Постановление администрации города Дивногорска от 30.09.2015 № 148п "Об утверждении муниципальной программы "Культура муниципального образования город Дивногорск"</t>
  </si>
  <si>
    <t>0703
01200S568E,614</t>
  </si>
  <si>
    <t>0703
012007568D,614</t>
  </si>
  <si>
    <t>0703
012007568E,614</t>
  </si>
  <si>
    <t>0703
01200R0271,612</t>
  </si>
  <si>
    <t>Культура</t>
  </si>
  <si>
    <t>Постановление администрации г. Дивногорска от 24.07.2018 № 139п "Об утверждении Порядка финансирования и расходования субсидии, предоставляемой муниципальному образованию город Дивногорск Красноярского края из бюджета Красноярского края в 2018 году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t>
  </si>
  <si>
    <t>0703
0330010340,611</t>
  </si>
  <si>
    <t>0703
0330077450,612</t>
  </si>
  <si>
    <t>Федеральный закон от 06.10.2003 № 131-ФЗ «Об общих принципах организации местного самоуправления в Российской Федерации»</t>
  </si>
  <si>
    <t>статья 16</t>
  </si>
  <si>
    <t>06.10.2003 - бессрочный</t>
  </si>
  <si>
    <t>Закон Красноярского края от 28.06.2007 № 2-190 «О культуре»</t>
  </si>
  <si>
    <t>статья10</t>
  </si>
  <si>
    <t xml:space="preserve"> 28.06.2007- бессрочный</t>
  </si>
  <si>
    <t>0703
033080620,611</t>
  </si>
  <si>
    <t>0703
033080620,612</t>
  </si>
  <si>
    <t>0703
033008062T,611</t>
  </si>
  <si>
    <t>0703
033008062Z,611</t>
  </si>
  <si>
    <t>0703,
033008065,611</t>
  </si>
  <si>
    <t>0703,
012008065А,611</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</si>
  <si>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</si>
  <si>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Закон Красноярского края от 07.07.2009 № 8-3618  "Об обеспечении прав детей на отдых, оздоровление и занятость в Красноярском крае"</t>
  </si>
  <si>
    <t>ст.7</t>
  </si>
  <si>
    <t>31.07.2009 - не установ</t>
  </si>
  <si>
    <t>0707
0130073970,244</t>
  </si>
  <si>
    <t>0707
0130073970,323</t>
  </si>
  <si>
    <t>0707
01300S649G/244</t>
  </si>
  <si>
    <t>0707
01300S649G,612</t>
  </si>
  <si>
    <t>0707
01300S649G,622</t>
  </si>
  <si>
    <t>0707
01300S649D/323</t>
  </si>
  <si>
    <t xml:space="preserve">0707
01300S649U/244
</t>
  </si>
  <si>
    <t xml:space="preserve">0707
01300S649U/612
</t>
  </si>
  <si>
    <t>0707
01300S649J/244</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</si>
  <si>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</si>
  <si>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гимц,тцо</t>
  </si>
  <si>
    <t>0709
0140080220,110</t>
  </si>
  <si>
    <t>0709
0140080220,244</t>
  </si>
  <si>
    <t>0709
0140080220,247</t>
  </si>
  <si>
    <t>0709
0140080220,320</t>
  </si>
  <si>
    <t>0709
0140080220,350</t>
  </si>
  <si>
    <t>0709
0140080220,830</t>
  </si>
  <si>
    <t>0709
0140010320,110</t>
  </si>
  <si>
    <t>0709
0140010340,110</t>
  </si>
  <si>
    <t>0709
0140080220,850</t>
  </si>
  <si>
    <t>мску</t>
  </si>
  <si>
    <t>Закон Красноярского края от 29.10.2009 № 9-3864 «О системах оплаты труда работников краевых государственных учреждений»</t>
  </si>
  <si>
    <t>статья 2, 3, 4</t>
  </si>
  <si>
    <t>16.11.2009 - бессрочный</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</si>
  <si>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</si>
  <si>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t>культура</t>
  </si>
  <si>
    <t>Закон Красноярского края от 7 декабря 2023 г. N 6-2296 "О краевом бюджете на 2024 год и плановый период 2025 - 2026 годов"</t>
  </si>
  <si>
    <t>ст.7 п.15</t>
  </si>
  <si>
    <r>
      <t xml:space="preserve">0801
</t>
    </r>
    <r>
      <rPr>
        <b/>
        <sz val="8"/>
        <rFont val="Times New Roman"/>
        <family val="1"/>
        <charset val="204"/>
      </rPr>
      <t>03100S4880</t>
    </r>
    <r>
      <rPr>
        <sz val="8"/>
        <rFont val="Times New Roman"/>
        <family val="1"/>
        <charset val="204"/>
      </rPr>
      <t>,612</t>
    </r>
  </si>
  <si>
    <t>cт.16, пункт 1, п/пункт 16</t>
  </si>
  <si>
    <t>Закон Красноярского края от 17.05.1999 № 6-400 "О библиотечном деле в Красноярском крае"</t>
  </si>
  <si>
    <t>ст. 9</t>
  </si>
  <si>
    <t>27.06.1999 - не установ</t>
  </si>
  <si>
    <t>0801
0310010330,611</t>
  </si>
  <si>
    <t>Постановление Правительства РФ от 26.06.1995 № 609 "Об утверждении Положения об основах хозяйственной деятельности и финансирования организаций культуры и искусства"</t>
  </si>
  <si>
    <t>21.07.1995 - не установ</t>
  </si>
  <si>
    <t>0801
03100L519F,612</t>
  </si>
  <si>
    <t>0801
0310080640,611</t>
  </si>
  <si>
    <t>0801
0310080640,612</t>
  </si>
  <si>
    <t>0801
031008064T,611</t>
  </si>
  <si>
    <t>0801
031008064Z,611</t>
  </si>
  <si>
    <t>0801
03100L5190,612</t>
  </si>
  <si>
    <t>Федеральный закон от 29.12.1994 № 78-ФЗ "О библиотечном деле"</t>
  </si>
  <si>
    <t xml:space="preserve">ст.10 </t>
  </si>
  <si>
    <t>02.01.1995 - не установ</t>
  </si>
  <si>
    <t>0801
0310077440,612</t>
  </si>
  <si>
    <t>0801
03100S4490.612</t>
  </si>
  <si>
    <t>0801
03100S4880,612</t>
  </si>
  <si>
    <t>0801
031A354530,612</t>
  </si>
  <si>
    <t>2.1.30. создание условий для организации досуга и обеспечения жителей городского округа услугами организаций культуры</t>
  </si>
  <si>
    <t>ст.16, пункт 1, п/пункт 17</t>
  </si>
  <si>
    <t>Закон Красноярского края от 28.06.2007 № 2-190 "О культуре"</t>
  </si>
  <si>
    <t>ст. 22</t>
  </si>
  <si>
    <t>31.07.2007 - не установ</t>
  </si>
  <si>
    <t>ст.7 п.16, 17</t>
  </si>
  <si>
    <t>0801
0310021380,612</t>
  </si>
  <si>
    <t xml:space="preserve">Закон РФ от 09.10.1992 № 3612-1 "Основы законодательства Российской Федерации о культуре" </t>
  </si>
  <si>
    <t>ст. 40</t>
  </si>
  <si>
    <t>17.11.1992 - не установ</t>
  </si>
  <si>
    <t>Федеральный закон от 25.06.2002 № 73-ФЗ «Об объектах культурного наследия (памятниках истории и культуры) народов Российской Федерации»</t>
  </si>
  <si>
    <t>Закон Красноярского края от 23.04.2009 № 8-3166 «Об объектах культурного наследия (памятниках истории и культуры) народов Российской Федерации, расположенных на территории Красноярского края»</t>
  </si>
  <si>
    <t>0801
0310080630,611</t>
  </si>
  <si>
    <t>0801
0310080630,612</t>
  </si>
  <si>
    <t>0801
031008063Т,611</t>
  </si>
  <si>
    <t>0801
031008063Z,611</t>
  </si>
  <si>
    <t>0801
031А155970,612</t>
  </si>
  <si>
    <t>0801
0310074760,612</t>
  </si>
  <si>
    <t>0801
03100S476,612</t>
  </si>
  <si>
    <t>0801
0320086410,612</t>
  </si>
  <si>
    <t>0801
03200S6410,612</t>
  </si>
  <si>
    <t>0801
0310077450,612</t>
  </si>
  <si>
    <t>0801
0310078400,612</t>
  </si>
  <si>
    <t>0801
03100S8400,612</t>
  </si>
  <si>
    <t>0801
03100S4810,612</t>
  </si>
  <si>
    <t>0801
03200S4720,612</t>
  </si>
  <si>
    <t>0801
03200S4820.612</t>
  </si>
  <si>
    <t>0801
03100S1380,612</t>
  </si>
  <si>
    <t>0801 
0320076410,612</t>
  </si>
  <si>
    <t>801
0320074720,612</t>
  </si>
  <si>
    <t>0801
0320074760,612</t>
  </si>
  <si>
    <t>0801
032П176930.612</t>
  </si>
  <si>
    <t>080103200S4760,612</t>
  </si>
  <si>
    <t>0801
0320010330,611</t>
  </si>
  <si>
    <t>0801
0320074810,612</t>
  </si>
  <si>
    <t>0801
0320078400,612</t>
  </si>
  <si>
    <t>0801
032A274820,612</t>
  </si>
  <si>
    <t>0801
032A354530,612</t>
  </si>
  <si>
    <t>0801
032А174840,612</t>
  </si>
  <si>
    <t>0801
0320080610,611</t>
  </si>
  <si>
    <t>0801
0320080610,612</t>
  </si>
  <si>
    <t>0801
032008061Т,611</t>
  </si>
  <si>
    <t>0801
032008061Z,611</t>
  </si>
  <si>
    <t>0801
03200L 4670,612</t>
  </si>
  <si>
    <t>0801
0320021380,612</t>
  </si>
  <si>
    <t>0801
03200S1380,612</t>
  </si>
  <si>
    <t>0801
0340010320.110</t>
  </si>
  <si>
    <t>0801
032A174840,612</t>
  </si>
  <si>
    <t>0804
0340010340,110</t>
  </si>
  <si>
    <t>Постановление администрации г. Дивногорска от 18.05.2012 № 122п «Об утверждении Примерного положения об оплате труда работников муниципальных учреждений в сфере культуры"</t>
  </si>
  <si>
    <t>0804
0340080220,110</t>
  </si>
  <si>
    <t>0804
0340080220,244</t>
  </si>
  <si>
    <t>0804
0340080220,247</t>
  </si>
  <si>
    <t>0804
0340080220,321</t>
  </si>
  <si>
    <t>0804
0340080220,830</t>
  </si>
  <si>
    <t>0804
0340080220,850</t>
  </si>
  <si>
    <t>2.1.33.обеспечение условий для развития на территории городского округа физической культуры, школьного спорта и массового спорта</t>
  </si>
  <si>
    <t>спорт</t>
  </si>
  <si>
    <t xml:space="preserve">
Закон Красноярского края от 7 декабря 2023 г. N 6-2296 "О краевом бюджете на 2024 год и плановый период 2025 - 2026 годов"</t>
  </si>
  <si>
    <t>ст.7 п.19</t>
  </si>
  <si>
    <t>1101
0410080620,611</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</si>
  <si>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t>
  </si>
  <si>
    <t xml:space="preserve">1103
0410080620,611
</t>
  </si>
  <si>
    <t>Постановление Правительства Красноярского края от 26.11.2021 № 829-п " Об утверждении Методики распределения иных межбюджетных трансфертов из краевого бюджета бюджетам муниципальных образований Красноярского края на устройство плоскостных спортивных сооружений в сельской местности и правил их предоставления"</t>
  </si>
  <si>
    <t xml:space="preserve">1103
0410080620,612
</t>
  </si>
  <si>
    <t>Постановление Правительства Красноярского края от 21.05.2024 № 378-п "Об утверждении распределения иных межбюджетных трансфертов бюджетам муниципальных образований Красноярского края на устройство спортивных сооружений в сельской местности на 2025 год"</t>
  </si>
  <si>
    <t>1103
0410088750,612</t>
  </si>
  <si>
    <t>1101
041008061Z,621</t>
  </si>
  <si>
    <t>1101
0410026540,612</t>
  </si>
  <si>
    <t>1101
0410080620,612</t>
  </si>
  <si>
    <t>1101
041008062T,612</t>
  </si>
  <si>
    <t>1103
041008062T,611,612</t>
  </si>
  <si>
    <t>1101
041008061T,621</t>
  </si>
  <si>
    <t>спорт   до сш</t>
  </si>
  <si>
    <t>1101
041008062Z,611</t>
  </si>
  <si>
    <t>1103
041008062Z,611</t>
  </si>
  <si>
    <t>1101
0410080610.622</t>
  </si>
  <si>
    <t>1101
0410080610,621</t>
  </si>
  <si>
    <t>1101
0410074370,612</t>
  </si>
  <si>
    <t>1101
0410074370,622</t>
  </si>
  <si>
    <t>1101
04100S4370,622</t>
  </si>
  <si>
    <t>1103
04100S4370,612</t>
  </si>
  <si>
    <t>1103
04100S6501,612</t>
  </si>
  <si>
    <t>1103
04100S6540,612</t>
  </si>
  <si>
    <t>1101
0410026500,612</t>
  </si>
  <si>
    <t>1101
0410010340,611</t>
  </si>
  <si>
    <t>1102
0410074040,622</t>
  </si>
  <si>
    <t>1102
0410074180,622</t>
  </si>
  <si>
    <t>1103
0410074180,612</t>
  </si>
  <si>
    <t>1103
04100S437,612</t>
  </si>
  <si>
    <t>1102
0410010320,611</t>
  </si>
  <si>
    <t>1102
0410010340,621</t>
  </si>
  <si>
    <t>1102
041007845,622</t>
  </si>
  <si>
    <t>1103
041007845,612</t>
  </si>
  <si>
    <t>1103
0410010320,611</t>
  </si>
  <si>
    <t>Соглашение о предоставлении иного межбюджетного трансферта из краевого бюджета местному бюджету № 2С от 03.09.2024</t>
  </si>
  <si>
    <t>03.09.2024</t>
  </si>
  <si>
    <t>1103
0410078480,612</t>
  </si>
  <si>
    <t>1102
041007437,622</t>
  </si>
  <si>
    <t>1102
041007420,622</t>
  </si>
  <si>
    <t>1102
0410074200,622</t>
  </si>
  <si>
    <t>1102
0410080530,621</t>
  </si>
  <si>
    <t>1102
0410084050,622</t>
  </si>
  <si>
    <t>1102
0410080610,621,622</t>
  </si>
  <si>
    <t>1102
041008061T,621</t>
  </si>
  <si>
    <t>1102
041008061Z,621</t>
  </si>
  <si>
    <t>1102
041008062Z,611</t>
  </si>
  <si>
    <t>1102
041008062,611</t>
  </si>
  <si>
    <t>1102
041008062T,611</t>
  </si>
  <si>
    <t>1102
04100S4040,622</t>
  </si>
  <si>
    <t>1102
04100S4180,622</t>
  </si>
  <si>
    <t>1102
04100S4200,622</t>
  </si>
  <si>
    <t>1102
0410074370,622</t>
  </si>
  <si>
    <t>1102
04100S437,622</t>
  </si>
  <si>
    <t>1103
04100S8480,612</t>
  </si>
  <si>
    <t>1103
04100S4180.612</t>
  </si>
  <si>
    <t>1102,04100S8450,622</t>
  </si>
  <si>
    <t>1103
04100S8450,612</t>
  </si>
  <si>
    <t>2.1.34. организация проведения официальных физкультурно-оздоровительных и спортивных мероприятий городского округа</t>
  </si>
  <si>
    <t>Спорт</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</si>
  <si>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</si>
  <si>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1102
0410080520,621</t>
  </si>
  <si>
    <t>Федеральный закон от 04.12.2007 № 329-ФЗ "О физической культуре и спорте в Российской Федерации"</t>
  </si>
  <si>
    <t>30.03.2008 - не установ</t>
  </si>
  <si>
    <t>1102
0410080520,611</t>
  </si>
  <si>
    <t>2.1.35. создание условий для массового отдыха жителей городского округа и организация обустройства мест массового отдыха населения</t>
  </si>
  <si>
    <t>ст.16, пункт 1, п/пункт 20</t>
  </si>
  <si>
    <t>ст.10, пункт 1, п/пункт "б"
ст.22</t>
  </si>
  <si>
    <t>ст.7 п.20</t>
  </si>
  <si>
    <t>0909
0810075550,244</t>
  </si>
  <si>
    <t>0909
08100S5550,244</t>
  </si>
  <si>
    <t>2.1.36. формирование и содержание муниципального архива</t>
  </si>
  <si>
    <t>2.1.37. организация ритуальных услуг и содержание мест захоронения</t>
  </si>
  <si>
    <t xml:space="preserve">Федеральный закон от 12.01.1996 № 8-ФЗ "О погребении и похоронном деле"  </t>
  </si>
  <si>
    <t>ст.9, пункт 3</t>
  </si>
  <si>
    <t>15.01.1996 - не установ</t>
  </si>
  <si>
    <t>Закон Красноярского края от 24.04.1997 № 13-487 "О семейных (родовых) захоронениях на территории Красноярского края"</t>
  </si>
  <si>
    <t>18.05.1997 - не установ</t>
  </si>
  <si>
    <t>ст.7 п.23</t>
  </si>
  <si>
    <t>ст.16, пункт 1, п/пункт 23</t>
  </si>
  <si>
    <t>0503
0810084030,244</t>
  </si>
  <si>
    <t>2.1.38.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</si>
  <si>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ст.16, пункт 1, п/пункт 24</t>
  </si>
  <si>
    <t>Закон Красноярского края от 20.09.2013 № 5-1597 "Об экологической безопасности и охране окружающей среды в Красноярском крае"</t>
  </si>
  <si>
    <t>13.10.2013 - не установ</t>
  </si>
  <si>
    <t>ст.7 п.24</t>
  </si>
  <si>
    <t>0503
0810084040,244</t>
  </si>
  <si>
    <t>Федеральный закон от 24.06.1998 № 89-ФЗ "Об отходах производства и потребления"</t>
  </si>
  <si>
    <t>ст.8, пункт 1</t>
  </si>
  <si>
    <t>30.06.1998 - не установ</t>
  </si>
  <si>
    <t>Федеральный закон от 10.01.2002 № 7-ФЗ "Об охране окружающей среды"</t>
  </si>
  <si>
    <t>ст.7, пункт 1</t>
  </si>
  <si>
    <t>12.01.2002 - не установ</t>
  </si>
  <si>
    <t>2.1.39. утверждение правил благоустройства территории городского округа, осуществление контроля за их соблюдением</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</si>
  <si>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</si>
  <si>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п.7 ст.25</t>
  </si>
  <si>
    <t>0503
0810074800,244</t>
  </si>
  <si>
    <t>0503
0810077450,244</t>
  </si>
  <si>
    <t>0503
0810083140,244</t>
  </si>
  <si>
    <t>0503
0810083180,244</t>
  </si>
  <si>
    <t>0503
0810084120,244</t>
  </si>
  <si>
    <t>0503
081008402E,247</t>
  </si>
  <si>
    <t>0503
081008402E,850</t>
  </si>
  <si>
    <t>0503
0810084080,244</t>
  </si>
  <si>
    <t>0503
0810084090,244</t>
  </si>
  <si>
    <t>0503
0810084110,243</t>
  </si>
  <si>
    <t>0503
0810084160,244</t>
  </si>
  <si>
    <t>0503
0810084170,244</t>
  </si>
  <si>
    <t>0503
0810084170,243</t>
  </si>
  <si>
    <t>0503
0810084180,244</t>
  </si>
  <si>
    <t>0503
0810084200,244</t>
  </si>
  <si>
    <t>0503
0810084210,244</t>
  </si>
  <si>
    <t>0503
0810084190,244</t>
  </si>
  <si>
    <t>0503
0810084910,244</t>
  </si>
  <si>
    <t>0503
0810086140,244</t>
  </si>
  <si>
    <t>0503
0810086150,244</t>
  </si>
  <si>
    <t>0503
0810086860,244</t>
  </si>
  <si>
    <t>0503
0810089160,244</t>
  </si>
  <si>
    <t>0503
0810089170,244</t>
  </si>
  <si>
    <t>0503
08100S4800</t>
  </si>
  <si>
    <t>503
1110074800 244</t>
  </si>
  <si>
    <t>503
11100S4800 244</t>
  </si>
  <si>
    <t>СПОРТ</t>
  </si>
  <si>
    <t>0503
1110074800, 622</t>
  </si>
  <si>
    <t>0503
11100S4800, 622</t>
  </si>
  <si>
    <t>0503
1110083110,244</t>
  </si>
  <si>
    <t>0503
1110084240,244</t>
  </si>
  <si>
    <t>0503
1110083120,244</t>
  </si>
  <si>
    <t>усгх</t>
  </si>
  <si>
    <t>0503
1110083150,244</t>
  </si>
  <si>
    <t>0503
1110083160,244</t>
  </si>
  <si>
    <t>0503
1110083170,244</t>
  </si>
  <si>
    <t>0503
1110084510,244</t>
  </si>
  <si>
    <t>Договор № 07/ок от 15.07.2024 проведение сертификации для вступления в члены осациации " Самых красивых деревень и городов России"</t>
  </si>
  <si>
    <t>0505
1110088700.853</t>
  </si>
  <si>
    <r>
      <t xml:space="preserve">0503
</t>
    </r>
    <r>
      <rPr>
        <b/>
        <sz val="8"/>
        <rFont val="Times New Roman"/>
        <family val="1"/>
        <charset val="204"/>
      </rPr>
      <t>111И45555</t>
    </r>
    <r>
      <rPr>
        <sz val="8"/>
        <rFont val="Times New Roman"/>
        <family val="1"/>
        <charset val="204"/>
      </rPr>
      <t>0.244</t>
    </r>
  </si>
  <si>
    <r>
      <t xml:space="preserve">0503
</t>
    </r>
    <r>
      <rPr>
        <b/>
        <sz val="8"/>
        <rFont val="Times New Roman"/>
        <family val="1"/>
        <charset val="204"/>
      </rPr>
      <t>111И45555</t>
    </r>
    <r>
      <rPr>
        <sz val="8"/>
        <rFont val="Times New Roman"/>
        <family val="1"/>
        <charset val="204"/>
      </rPr>
      <t>,631</t>
    </r>
  </si>
  <si>
    <t>0503
111F278440,244</t>
  </si>
  <si>
    <t>0503
11100R/F25550,811</t>
  </si>
  <si>
    <t>0503
11100S/L 555Э,244</t>
  </si>
  <si>
    <t>0503
11100Э555Э,11100S/L555Э,811</t>
  </si>
  <si>
    <t>0503
08100L2990,244</t>
  </si>
  <si>
    <t>0503
08100R2990,244</t>
  </si>
  <si>
    <t>0503
0360074800,</t>
  </si>
  <si>
    <t>0503
03600S4800,244</t>
  </si>
  <si>
    <t>0503
1110074520,244</t>
  </si>
  <si>
    <r>
      <t>0503
1110078440/</t>
    </r>
    <r>
      <rPr>
        <b/>
        <sz val="8"/>
        <rFont val="Times New Roman"/>
        <family val="1"/>
        <charset val="204"/>
      </rPr>
      <t>111И478440</t>
    </r>
    <r>
      <rPr>
        <sz val="8"/>
        <rFont val="Times New Roman"/>
        <family val="1"/>
        <charset val="204"/>
      </rPr>
      <t>,244</t>
    </r>
  </si>
  <si>
    <t>0503
1110084250,244</t>
  </si>
  <si>
    <t>0503
0810084050,244</t>
  </si>
  <si>
    <t>0503
081008485,243</t>
  </si>
  <si>
    <t>0503
0810084850,244</t>
  </si>
  <si>
    <t>0503
1110085550,244</t>
  </si>
  <si>
    <t>0503
1110085570,244</t>
  </si>
  <si>
    <t>0113
0360088940,244</t>
  </si>
  <si>
    <t>0503
1110088560,244</t>
  </si>
  <si>
    <t>0503
1110088570,244</t>
  </si>
  <si>
    <t>0503
1110088580,244</t>
  </si>
  <si>
    <t>0503
1110088590,244</t>
  </si>
  <si>
    <t>Постановление адм г.Дивногорска от 06.04.2018 №41п "Об утверждении порядка предоставления субсидий юридическим лицам, некоммерческим организациям в целях финансового обеспечения (возмещения) затрат в связи с проведением работ по благоустройству дворовых территорий и проездов к дворовым территориям МО г.Дивногорск</t>
  </si>
  <si>
    <t>0503
1110088660,244</t>
  </si>
  <si>
    <t>0503
1110089570,244</t>
  </si>
  <si>
    <t>0503
0810087050,243</t>
  </si>
  <si>
    <t>0503
0810087110,244</t>
  </si>
  <si>
    <t>0503
0810087040,244</t>
  </si>
  <si>
    <t>0503
0810087870,244</t>
  </si>
  <si>
    <t>инициативное бюджетирование</t>
  </si>
  <si>
    <t>0503
0810088990,244</t>
  </si>
  <si>
    <t>0503
0810089320,244</t>
  </si>
  <si>
    <t>0503
0810089330,244</t>
  </si>
  <si>
    <t>0503
0810089340,244</t>
  </si>
  <si>
    <t>0503
0810089350,244</t>
  </si>
  <si>
    <t>0503
0810089470,244</t>
  </si>
  <si>
    <t>0503
0810074630,244</t>
  </si>
  <si>
    <t>0503
08100S4630,244</t>
  </si>
  <si>
    <t>0605
0810074630,244</t>
  </si>
  <si>
    <t>0605
08100S4630,244</t>
  </si>
  <si>
    <t>0503
0830084020,244</t>
  </si>
  <si>
    <t>0503
083008402Е,247</t>
  </si>
  <si>
    <t>адм-ция</t>
  </si>
  <si>
    <t>0113
8210088990,244</t>
  </si>
  <si>
    <t>0503
0840088991,244</t>
  </si>
  <si>
    <t>0503
08600R5550,244</t>
  </si>
  <si>
    <t>0503
08600R5550,811</t>
  </si>
  <si>
    <t>0503
08600S555Э,244</t>
  </si>
  <si>
    <t>0503
08600S555Э,811</t>
  </si>
  <si>
    <t>0503
11100S8440,244</t>
  </si>
  <si>
    <t>культура-цбс</t>
  </si>
  <si>
    <t>0503
1110084240,612</t>
  </si>
  <si>
    <t>0703/0503
111F254240,612</t>
  </si>
  <si>
    <t>0503
111F25424F,612</t>
  </si>
  <si>
    <t>0503
1110088670,612</t>
  </si>
  <si>
    <t>cпорт</t>
  </si>
  <si>
    <r>
      <t>0503
111F274510/</t>
    </r>
    <r>
      <rPr>
        <b/>
        <sz val="8"/>
        <rFont val="Times New Roman"/>
        <family val="1"/>
        <charset val="204"/>
      </rPr>
      <t>111И474510</t>
    </r>
    <r>
      <rPr>
        <sz val="8"/>
        <rFont val="Times New Roman"/>
        <family val="1"/>
        <charset val="204"/>
      </rPr>
      <t>,622</t>
    </r>
  </si>
  <si>
    <r>
      <t xml:space="preserve">0503
</t>
    </r>
    <r>
      <rPr>
        <b/>
        <sz val="8"/>
        <rFont val="Times New Roman"/>
        <family val="1"/>
        <charset val="204"/>
      </rPr>
      <t>111И47451</t>
    </r>
    <r>
      <rPr>
        <sz val="8"/>
        <rFont val="Times New Roman"/>
        <family val="1"/>
        <charset val="204"/>
      </rPr>
      <t>,244</t>
    </r>
  </si>
  <si>
    <t>0412
0360074800,622</t>
  </si>
  <si>
    <t>0412
03600S4800,622</t>
  </si>
  <si>
    <t>2.1.41.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</si>
  <si>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</si>
  <si>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ст.16, пункт 1, п/пункт 26</t>
  </si>
  <si>
    <t>Закон Красноярского края от 04.12.2008 № 7-2542 "О регулировании земельных отношений в Красноярском крае"</t>
  </si>
  <si>
    <t>04.01.2009 - не установ</t>
  </si>
  <si>
    <t>ст.7 п.26</t>
  </si>
  <si>
    <t>0412
05500S4660,244</t>
  </si>
  <si>
    <t>0412
0510084660.244</t>
  </si>
  <si>
    <t>0412
0550087010,244</t>
  </si>
  <si>
    <t>0412
0840089190,244</t>
  </si>
  <si>
    <t>2.1.52. содействие развитию малого и среднего предпринимательства</t>
  </si>
  <si>
    <t>Администрация</t>
  </si>
  <si>
    <t>Федеральный закон от 24.07.2007 № 209-ФЗ "О развитии малого и среднего предпринимательства в Российской Федерации"</t>
  </si>
  <si>
    <t>ст. 11</t>
  </si>
  <si>
    <t>Постановление Правительства Красноярского края от 30/09/2013 №505"Об утверждении государственной  программы ККр"Развитие инвестиционной деятельности, малого и среднего предпринимательства"</t>
  </si>
  <si>
    <t>ст.7 п.33</t>
  </si>
  <si>
    <t>0412
0620076070,06200S6070/ 811</t>
  </si>
  <si>
    <t>ст.16, пункт 1, п/пункт 33</t>
  </si>
  <si>
    <t>Постановление Администрации города Дивногорска от 28..12.2024 №245п "Об утверждении Порядка предоставления субсидий субъектам малого и среднего предпринимательства и физическим лицам, применяющим специальный налоговый режим "Налог на профессиональный доход" на возмещение затрат при осуществлении предпринимательской деятельности"</t>
  </si>
  <si>
    <t>0412
06200S6070,244</t>
  </si>
  <si>
    <t>Постановление Правительства РФ "Об утверждении общих требований к нормативным правовым актам, муниципальным правовым актам, регулирующим предоставление из бюджетов субъектов РФ, местных бюджетов субсидий, в т.ч. Грантов в форме субсидий, юридическим лицам, индивидуальным предпринимателям, а также физическим лицам-производителям товаров, работ,услуг и проведение отборов получателей указанных субсидий, вт.ч.грантов в форме субсидий"</t>
  </si>
  <si>
    <t>0412
062007661,0811</t>
  </si>
  <si>
    <t>Постановление Администрации города Дивногорска от 28.12.2024 №246п "Об утверждении Порядка предоставления субсидий субъектам малого и среднего предпринимательства на реализацию инвестиционных проектов в приоритетных отраслях</t>
  </si>
  <si>
    <t>0412
062007668,813</t>
  </si>
  <si>
    <t>0412
06200S6610,811</t>
  </si>
  <si>
    <t>Постановление Администрации города Дивногорска  от 28.12.2024 №247п "Об утверждении Порядкапредоставления грантов в форме субсидии субъектам малого и среднего предпринимательства на начало ведения предпринимательской деятельности</t>
  </si>
  <si>
    <t>0412
82100S668,811/813</t>
  </si>
  <si>
    <t>0412
06200S6680,813</t>
  </si>
  <si>
    <t>0412
06200S6070,811</t>
  </si>
  <si>
    <t>2.1.54. организация и осуществление мероприятий по работе с детьми и молодежью в городском округе</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</si>
  <si>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</si>
  <si>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ст.7 п.34</t>
  </si>
  <si>
    <t>0707
0420074540,622</t>
  </si>
  <si>
    <t>Закон Красноярского края от 08.12.2006 № 20-5445 "О государственной молодежной политике Красноярского края"</t>
  </si>
  <si>
    <t>ст. 8</t>
  </si>
  <si>
    <t>06.01.2008 - не установ</t>
  </si>
  <si>
    <t xml:space="preserve">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
</t>
  </si>
  <si>
    <t>0707
042007456,622</t>
  </si>
  <si>
    <t>0707
0420074570,622</t>
  </si>
  <si>
    <t>0707
0420074650,622</t>
  </si>
  <si>
    <t>0707
0420010320,621</t>
  </si>
  <si>
    <t>0707
0420010340,621</t>
  </si>
  <si>
    <t>0707
0420080610,621/622</t>
  </si>
  <si>
    <t>0707
042008061T,621</t>
  </si>
  <si>
    <t>0707
042008061T,622</t>
  </si>
  <si>
    <t>0707
042008061Z,621</t>
  </si>
  <si>
    <t>0707
042E876620,622</t>
  </si>
  <si>
    <t>0707
0420076630,622</t>
  </si>
  <si>
    <t>0707
042008810,622</t>
  </si>
  <si>
    <t>0707
0420088680,622</t>
  </si>
  <si>
    <t>0707
04200S663,622</t>
  </si>
  <si>
    <t>0707
04200S4540,622</t>
  </si>
  <si>
    <t>0707
04200S4570,622</t>
  </si>
  <si>
    <t>0707
04200S4560,622</t>
  </si>
  <si>
    <t>2.1.55.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</si>
  <si>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 xml:space="preserve">2.1.56. ДНД-оказание поддержки  гражданам и их объединениям, участвующим в охране общественного порядка, создание условий для деятельности нардных дружин - </t>
  </si>
  <si>
    <t>ст.16, пункт 1, п/пункт 37</t>
  </si>
  <si>
    <t>ст.7 п.39</t>
  </si>
  <si>
    <t>0314
8210086120,123</t>
  </si>
  <si>
    <t xml:space="preserve">Постановление
администрации г. Дивногорска от  № 49п «Об утверждении
Положения о материальном стимулировании деятельности народных
дружинников»
ФЗ «Об участии граждан в охране общественного порядка», </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</si>
  <si>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</si>
  <si>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</si>
  <si>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горсовет</t>
  </si>
  <si>
    <t>Федеральный закон №131-ФЗ "Об общих принципах организации местного самоуправления в РФ" от 06.10.2003</t>
  </si>
  <si>
    <t>ст.35,52,53 Федерального закона 131-ФЗ</t>
  </si>
  <si>
    <t>08.10.2003г.</t>
  </si>
  <si>
    <t>Закон Красноярского края от 24.04.2008 № 5-1565 "Об особенностях правового регулирования муниципальной службы в Красноярском крае"</t>
  </si>
  <si>
    <t>0103
8110080210,120</t>
  </si>
  <si>
    <t>0103
8110080210,244</t>
  </si>
  <si>
    <t>0103
8110080210,830</t>
  </si>
  <si>
    <t>0103
8110080210,852</t>
  </si>
  <si>
    <t>0103
8110080230,129</t>
  </si>
  <si>
    <t>0103
8110080910,129</t>
  </si>
  <si>
    <t>Федеральный закон от 02.03.2007 № 25-ФЗ "О муниципальной службе в Российской Федерации"</t>
  </si>
  <si>
    <t>01.06.2007 - не установ</t>
  </si>
  <si>
    <t>Постановление Совета администрации Кр.Кр  №512 П"О нормативах формирования расходов на оплату труда"</t>
  </si>
  <si>
    <t>0103
8110010240,129</t>
  </si>
  <si>
    <t>Решение городского Совета депутатов от 27.03.2008 № 39-234-ГС ( в редакции от 27.11.2008 № 45-275-ГС, от 29.01.2009 № 47-283-ГС, от 30.06.2011 № 15-102-ГС, от 25.10.2012 № 27-168-*ГС, 31.10.2013 № 37-224-ГС) "Положение об оплате труда депутатов, выборных должностных лиц, осуществляющих свои полномочия на постоянной основе в муниципальном образовании г.Дивногорск"</t>
  </si>
  <si>
    <t>0102
8210010240.129</t>
  </si>
  <si>
    <t>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</si>
  <si>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Ст.2 гл.2, п.2 ст.54 гл.7 Решения</t>
  </si>
  <si>
    <t>21.04.2016г;       01.01.2016г</t>
  </si>
  <si>
    <t>0104
8210010240.129</t>
  </si>
  <si>
    <t>0104
8210010240.870</t>
  </si>
  <si>
    <t>0102
8210080230,129,122</t>
  </si>
  <si>
    <t>0104
8210080210,122,129</t>
  </si>
  <si>
    <t>0104
8210080210,244</t>
  </si>
  <si>
    <t>0104
8210080210,247</t>
  </si>
  <si>
    <t>0104
8210080210,830</t>
  </si>
  <si>
    <t>0104
8210080210,850</t>
  </si>
  <si>
    <t>0104
8210080910,129</t>
  </si>
  <si>
    <t>0104
8210077450,244</t>
  </si>
  <si>
    <t>1006
8210074240,244</t>
  </si>
  <si>
    <t>1006
8210074240,321</t>
  </si>
  <si>
    <t>0804
0340080210,244</t>
  </si>
  <si>
    <t>0804
0340080210,122.129</t>
  </si>
  <si>
    <t>0804
0340080910,120</t>
  </si>
  <si>
    <t>0804
034001024.129</t>
  </si>
  <si>
    <t>1105
0440080210.129</t>
  </si>
  <si>
    <t>1105
0440010240.129</t>
  </si>
  <si>
    <t>1105
0440080210,244</t>
  </si>
  <si>
    <t>ксо</t>
  </si>
  <si>
    <t>0106
8410080210.129</t>
  </si>
  <si>
    <t>0106
8410080210,244</t>
  </si>
  <si>
    <t>0106
8410010240.129</t>
  </si>
  <si>
    <t>0106
8410010240.870</t>
  </si>
  <si>
    <t>образование</t>
  </si>
  <si>
    <t>0709
0140080210.129</t>
  </si>
  <si>
    <t>0709
0140080210,244</t>
  </si>
  <si>
    <t>0709
0140080210,853</t>
  </si>
  <si>
    <t>0709
0140080910.129</t>
  </si>
  <si>
    <t>0709
0140010240.129</t>
  </si>
  <si>
    <t>0106
0940080210.850</t>
  </si>
  <si>
    <t>0106
094008021,129</t>
  </si>
  <si>
    <t>0106
0940080210,244</t>
  </si>
  <si>
    <t>0106
094001024.129</t>
  </si>
  <si>
    <t>0106
0940080210,321</t>
  </si>
  <si>
    <t>0106
0940080910,129</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</si>
  <si>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</si>
  <si>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0103
811008021.121</t>
  </si>
  <si>
    <t>0103
8110080230,121</t>
  </si>
  <si>
    <t>0103
8110080910.121</t>
  </si>
  <si>
    <t>0103
8110010240</t>
  </si>
  <si>
    <t>0106
8110080210,121</t>
  </si>
  <si>
    <t>0102
8210010240.121</t>
  </si>
  <si>
    <t>0104
8210010240.121</t>
  </si>
  <si>
    <t>О104
8210010340,121</t>
  </si>
  <si>
    <t>0102
8210080230.121</t>
  </si>
  <si>
    <t>0104
8210080210</t>
  </si>
  <si>
    <t>0104
8210080910</t>
  </si>
  <si>
    <t>0104
8210080210.121</t>
  </si>
  <si>
    <t>0804
0340010240.121</t>
  </si>
  <si>
    <t>0804
0340080910</t>
  </si>
  <si>
    <t>1105
0440010240.121</t>
  </si>
  <si>
    <t>1105
0440080210.121</t>
  </si>
  <si>
    <t>0106
8410080210.121</t>
  </si>
  <si>
    <t>0106
8410010240.121</t>
  </si>
  <si>
    <t>0709
0140080210.121</t>
  </si>
  <si>
    <t>0709
0140010240.121</t>
  </si>
  <si>
    <t>0709
0140080910.121</t>
  </si>
  <si>
    <t>0106
0940010240.121</t>
  </si>
  <si>
    <t>0106
0940080210,121</t>
  </si>
  <si>
    <t>0106
0940080910</t>
  </si>
  <si>
    <r>
      <rPr>
        <b/>
        <sz val="8"/>
        <rFont val="Times New Roman"/>
        <family val="1"/>
        <charset val="204"/>
      </rPr>
      <t>2.2.3.</t>
    </r>
    <r>
      <rPr>
        <sz val="8"/>
        <rFont val="Times New Roman"/>
        <family val="1"/>
        <charset val="204"/>
      </rPr>
      <t xml:space="preserve"> обслуживание муниципального долга без учета обслуживания долговых обязательств в части процентов, пеней и штрафных санкций по полученным бюджетным кредитам</t>
    </r>
  </si>
  <si>
    <t>2.2.4. обслуживание долговых обязательств в части процентов, пеней и штрафных санкций по полученным бюджетным кредитам</t>
  </si>
  <si>
    <t>ст16, пункт 1, п/пункт 1</t>
  </si>
  <si>
    <t>ст.38</t>
  </si>
  <si>
    <t>1301
8210088940,730</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</si>
  <si>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 ГХ, АПБ )</t>
  </si>
  <si>
    <t>Ст.в целом</t>
  </si>
  <si>
    <t xml:space="preserve">Постановление администрации города Дивногорска от 30.09.2013 № 198 п Об утверждении Положения об оплате труда 
работников муниципального казенного учреждения 
«Городское хозяйство» города Дивногорска </t>
  </si>
  <si>
    <t>0309
084007413,110</t>
  </si>
  <si>
    <r>
      <rPr>
        <b/>
        <sz val="8"/>
        <rFont val="Times New Roman"/>
        <family val="1"/>
        <charset val="204"/>
      </rPr>
      <t>0310</t>
    </r>
    <r>
      <rPr>
        <sz val="8"/>
        <rFont val="Times New Roman"/>
        <family val="1"/>
        <charset val="204"/>
      </rPr>
      <t>/
084007413,244</t>
    </r>
  </si>
  <si>
    <t>0310
0840080220,110</t>
  </si>
  <si>
    <t>0310
0840080220,244</t>
  </si>
  <si>
    <t>0310
08400S4130,110</t>
  </si>
  <si>
    <t>0505
0840080220,110</t>
  </si>
  <si>
    <t>0505
0840080220,244</t>
  </si>
  <si>
    <t>0505
0840080220,831</t>
  </si>
  <si>
    <t>0505
0840080220,850</t>
  </si>
  <si>
    <t>0505
0840087880.244</t>
  </si>
  <si>
    <t>0505
0840087040,244</t>
  </si>
  <si>
    <t>Решение Дивногоского городского Совета депутатов Красноярского края от 24.09.2009 № 54-317-ГС «Об утверждении Положения о бюджетном процессе  в муниципальном образовании город Дивногорск», постановление Администрации города Дивногорска от 30.09.2013  № 195п
Об утверждении  Положения об оплате труда работников муниципального казенного учреждения «Архитектурно-планировочное бюро»</t>
  </si>
  <si>
    <t>0505
0840087870,244</t>
  </si>
  <si>
    <t>0505
0550080220,110</t>
  </si>
  <si>
    <t>0505
0550080220,244</t>
  </si>
  <si>
    <t>0505
0550080220,830</t>
  </si>
  <si>
    <t>0505
0550080220,850</t>
  </si>
  <si>
    <t>0505
0810080040,853</t>
  </si>
  <si>
    <t>мку закупки</t>
  </si>
  <si>
    <t>Решение Дивногоского городского Совета депутатов Красноярского края от 24.09.2009 № 54-317-ГС «Об утверждении Положения о бюджетном процессе  в муниципальном образовании город Дивногорск», Постановление №915п от 14.12.2010 "Об утверждении порядка создания, реорганизации, изменения типа и ликвидациии муниципальных учреждений, а также утверждения уставов мун учр и внесения в них изменений"Постановление администрации г.Дивногорска от 08.11.2021 №177п "О создании мку "Управление закупками г.Дивногорска"</t>
  </si>
  <si>
    <t>0113
8310080220,110</t>
  </si>
  <si>
    <t>, постановление Администрации города Дивногорска от19.01.2022г.   № 12п "Об утверждении Положения об оплате труда работников мку "управление закупками г.Дивногорска"</t>
  </si>
  <si>
    <t>0113
8310080220,853</t>
  </si>
  <si>
    <t>0113
8310080220,244</t>
  </si>
  <si>
    <t>2.2.13.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</si>
  <si>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Решение Дивногорского городского Совета депутатов от 23.06.2020 № 58-3508-ГС "О назначении выборов депутатов Дивногорского городского Совета депутатов 6 созыва городского округа город Дивногорск Красноярского края"</t>
  </si>
  <si>
    <t>ст.17,  пункт 1, п/пункт 5</t>
  </si>
  <si>
    <t>Закон Красноярского края от 02.10.2003 № 8-1411  "О выборах в органы местного самоуправления в Красноярском крае"</t>
  </si>
  <si>
    <t>ст.5, пункт 1
ст.43, пункт 1</t>
  </si>
  <si>
    <t>08.11.2003 - не установ</t>
  </si>
  <si>
    <t>0107
8210081110,880</t>
  </si>
  <si>
    <t>Федеральный закон от 12.06.2002 № 67-ФЗ "Об основных гарантиях избирательных прав и права на участие в референдуме граждан Российской Федерации"</t>
  </si>
  <si>
    <t>ст.57, пункт 1</t>
  </si>
  <si>
    <t>26.06.2002 - не установ</t>
  </si>
  <si>
    <t>0113
8210081120,244</t>
  </si>
  <si>
    <t>2.2.23.  Предоставление доплаты за выслугу лет к трудовой пенсии муниципальным служащим за счет средств местного бюджета</t>
  </si>
  <si>
    <t>0113
821W058530,244</t>
  </si>
  <si>
    <t>мску мцб</t>
  </si>
  <si>
    <t>ст.20, пункт 5</t>
  </si>
  <si>
    <t xml:space="preserve">Закон Красноярского края от 24.04.2008 N 5-1565 (ред. от 03.10.2019) "Об особенностях правового регулирования муниципальной службы в Красноярском крае", Закон Красноярского края от 26.06.2008 N 6-1832 (ред. от 29.06.2017) "О гарантиях осуществления полномочий депутата, члена выборного органа местного самоуправления, выборного должностного лица местного самоуправления в Красноярском крае" (подписан Губернатором Красноярского края 08.07.2008), </t>
  </si>
  <si>
    <t>01.07.2008 - бессрочный, 01.08.2008-бессрочный</t>
  </si>
  <si>
    <t>Решение Дивногорского городского Совета депутатов от 28.01.2020г. № 51-325-ГС «Об утверждении Положения об условиях и порядке предоставления муниципальному служащему права на пенсию за выслугу лет за счет средств бюджета города Дивногорска», решением Дивногорского городского Совета депутатов от 18.06.2015 №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 Дивногорск» (в вред. от 24.09.2019г. № 45-289-ГС)</t>
  </si>
  <si>
    <t>1001
0630088080,312</t>
  </si>
  <si>
    <t>Трудовой кодекс Российской Федерации, Федеральный закон от 02.03.2007 N 25-ФЗ (ред. от 27.12.2018) "О муниципальной службе в Российской Федерации", Федеральный закон от 15.12.2001 N 166-ФЗ (ред. от 27.12.2018) "О государственном пенсионном обеспечении в Российской Федерации"</t>
  </si>
  <si>
    <t>ст.327; ст.24; ст.7 п2,4</t>
  </si>
  <si>
    <t>30.12.2001 - бессрочный, 01.06.2007-бессрочный, 15.12.2001-бессрочный</t>
  </si>
  <si>
    <t>1001
0630088080,244</t>
  </si>
  <si>
    <t>2.2.24. Горячее питание</t>
  </si>
  <si>
    <t>Федеральный закон от 21.12.2021 г. № 414-ФЗ "Об общих принципах организации публичной власти субъектов Российской Федерации"</t>
  </si>
  <si>
    <t>ст.44, п.50</t>
  </si>
  <si>
    <t>21.12.2021 - не установ</t>
  </si>
  <si>
    <t>Постановление Правительства Красноярского края от 18.09.2020 №628-п "Об утверждении Порядка предоставления и распределения субсидий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</si>
  <si>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21.09.2020 - не установ</t>
  </si>
  <si>
    <t>1003
01200L3040,612</t>
  </si>
  <si>
    <t>1003
01200L3040,622</t>
  </si>
  <si>
    <t>1003
012L3040,870</t>
  </si>
  <si>
    <t>2,2,25.Полномочия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</si>
  <si>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1003
01202S5830, 622</t>
  </si>
  <si>
    <r>
      <t xml:space="preserve">адм </t>
    </r>
    <r>
      <rPr>
        <sz val="8"/>
        <rFont val="Times New Roman"/>
        <family val="1"/>
        <charset val="204"/>
      </rPr>
      <t>возмещение р-дов участникам СВО на твердое топливо</t>
    </r>
  </si>
  <si>
    <t>ч.3 ст.48</t>
  </si>
  <si>
    <t xml:space="preserve">Указом Губернатора Красноярского края от 25.10.2022 N 317-уг "О социально-экономических мерах поддержки лиц, принимающих участие в специальной военной операции, и членов их семей"
</t>
  </si>
  <si>
    <t>26.10.2022 - не установ.</t>
  </si>
  <si>
    <t>постановление администрации города Дивногорска от 27.03.2024 №48п «Об утверждении порядка предоставления в исключительных случаях, единовременной помощи членам семей лиц, принимающих участие в специальной военной операции»</t>
  </si>
  <si>
    <t>1003
8210085090.313</t>
  </si>
  <si>
    <r>
      <t>адм-</t>
    </r>
    <r>
      <rPr>
        <sz val="8"/>
        <rFont val="Times New Roman"/>
        <family val="1"/>
        <charset val="204"/>
      </rPr>
      <t>единоврем выплата гражданам(СВО)</t>
    </r>
  </si>
  <si>
    <t>Решение Дивногорского городского совета депутатов №49-300-НПА от 26.06.2024</t>
  </si>
  <si>
    <t>1003
8210089200.313</t>
  </si>
  <si>
    <t>0701
0110008530,612</t>
  </si>
  <si>
    <t>Постановление Правительства Красноярского края от 01.11.2022 N 935-п" Об утверждении Методики распределения иных межбюджетных трансфертов из краевого бюджета бюджетам муниципальных образований Красноярского края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и (или) лиц, выполняющих (выполнявших) задачи по отражению вооруженного вторжения на территорию Российской Федерации, правил их предоставления и их распределения на 2025 год и плановый период 2026 - 2027 годов"</t>
  </si>
  <si>
    <t>0701
0110008530,622</t>
  </si>
  <si>
    <t>0702
0120008530,612</t>
  </si>
  <si>
    <t>0702
0120008530,622</t>
  </si>
  <si>
    <t>0702
0120008530,870</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</si>
  <si>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</si>
  <si>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2.3.1. по перечню, предусмотренному Законом № 131-ФЗ, всего</t>
  </si>
  <si>
    <t>2.3.1.13. Осуществление мероприятий по отлову и содержанию безнадзорных животных, обитающих на территории городского округа</t>
  </si>
  <si>
    <t xml:space="preserve"> ГХ</t>
  </si>
  <si>
    <t>2.3.1.15. оказание содействия развитию физической культуры и спорта инвалидов, лиц с ограниченными возможностями здоровья, адаптивной физической культуры и адаптивного спорта</t>
  </si>
  <si>
    <t>1103
04100S4360,612</t>
  </si>
  <si>
    <t>2.3.2.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t>
  </si>
  <si>
    <t>…</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</si>
  <si>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</si>
  <si>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2.3.3.2. обеспечение мер социальной поддержки населения</t>
  </si>
  <si>
    <r>
      <rPr>
        <b/>
        <sz val="8"/>
        <rFont val="Times New Roman"/>
        <family val="1"/>
        <charset val="204"/>
      </rPr>
      <t>адм</t>
    </r>
    <r>
      <rPr>
        <sz val="8"/>
        <rFont val="Times New Roman"/>
        <family val="1"/>
        <charset val="204"/>
      </rPr>
      <t xml:space="preserve"> соц.выпл.погребение умершего "Почетного гражданина"</t>
    </r>
  </si>
  <si>
    <t xml:space="preserve">решение городского Совета депутатов от 28.02.2013 № 30-192-ГС "Об утверждении Положения о почетном звании "Почетный гражданин г.Дивногорска"
от 20.12.2007 №36-216-ГС (в редакции от 27.03.2008 №39-233-ГС, от 29.01.2009 №47-284-ГС, от 29.04.2010 №2-5-ГС, от 30.06.2011 №15-103-ГС, от 25.10.2012 №27-169-ГС) </t>
  </si>
  <si>
    <t>1003
8210085030,330</t>
  </si>
  <si>
    <r>
      <rPr>
        <b/>
        <sz val="8"/>
        <rFont val="Times New Roman"/>
        <family val="1"/>
        <charset val="204"/>
      </rPr>
      <t xml:space="preserve">адм </t>
    </r>
    <r>
      <rPr>
        <sz val="8"/>
        <rFont val="Times New Roman"/>
        <family val="1"/>
        <charset val="204"/>
      </rPr>
      <t xml:space="preserve">
выпл уполн полиции</t>
    </r>
  </si>
  <si>
    <t>Распоряжение Администрации города Дивногорска от 25.09.2024 №1503р "О порядке проведения конкурса "Лучший участковый уполномоченный полиции в городе Дивногорске" в 2024 годк.</t>
  </si>
  <si>
    <t>1003
8210085060,350</t>
  </si>
  <si>
    <r>
      <t xml:space="preserve">адм </t>
    </r>
    <r>
      <rPr>
        <sz val="8"/>
        <rFont val="Times New Roman"/>
        <family val="1"/>
        <charset val="204"/>
      </rPr>
      <t>ежемес. Матер.пом. Лицам пенс.возраста почет.зв."Почет. Гр.г.Дивногорска"</t>
    </r>
  </si>
  <si>
    <t>1003
8210088050,310</t>
  </si>
  <si>
    <r>
      <t xml:space="preserve">адм </t>
    </r>
    <r>
      <rPr>
        <sz val="8"/>
        <rFont val="Times New Roman"/>
        <family val="1"/>
        <charset val="204"/>
      </rPr>
      <t>Единовр.ден.премия "Почет.гр"</t>
    </r>
  </si>
  <si>
    <t>решение городского Совета депутатов от 28.02.2013 № 30-192-ГС "Об утверждении Положения о почетном звании "Почетный гражданин г.Дивногорска"
от 20.12.2007 №36-216-ГС (в редакции от 27.03.2008 №39-233-ГС, от 29.01.2009 №47-284-ГС, от 29.04.2010 №2-5-ГС, от 30.06.2011 №15-103-ГС, от 25.10.2012 №27-169-ГС) «Положение о предельных нормативах размеров  оплаты труда  муниципальных служащих в муниципальном образовании г.Дивногорск»</t>
  </si>
  <si>
    <t>0113
8210088090,330</t>
  </si>
  <si>
    <r>
      <rPr>
        <b/>
        <sz val="8"/>
        <rFont val="Calibri"/>
        <family val="2"/>
        <charset val="204"/>
        <scheme val="minor"/>
      </rPr>
      <t>адм</t>
    </r>
    <r>
      <rPr>
        <sz val="8"/>
        <rFont val="Calibri"/>
        <family val="2"/>
        <charset val="204"/>
        <scheme val="minor"/>
      </rPr>
      <t xml:space="preserve"> Подписка гр.,оказ.в труд.жизн.ситуации</t>
    </r>
  </si>
  <si>
    <t>решение Дивногорского городского Совета депутатов от 26.06.2024 № 49-295-НПА «О внесении изменений в решение Дивногорского городского Совета депутатов от  20 декабря 2023 г. № 42–252–ГС «О бюджете города Дивногорска на 2024 год и плановый период 2025-2026 годов»</t>
  </si>
  <si>
    <t>1003
8210088710,323</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</si>
  <si>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</si>
  <si>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2.4.1. за счет субвенций, предоставленных из федерального бюджета, всего</t>
  </si>
  <si>
    <t>2.4.1.2. по составлению списков кандидатов в присяжные заседатели</t>
  </si>
  <si>
    <t>Федеральный закон от 20.08.2004 № 113-ФЗ "О присяжных заседателях федеральных судов общей юрисдикции в Российской Федерации"</t>
  </si>
  <si>
    <t>03.09.2004 - не установ</t>
  </si>
  <si>
    <t>Постановление Правительства Красноярского края от 31.07.2009 № 391-п "О Порядке и сроках составления общего и запасного списков кандидатов в присяжные заседатели Красноярского края"</t>
  </si>
  <si>
    <t>18.08.2009 - не установ</t>
  </si>
  <si>
    <t>????</t>
  </si>
  <si>
    <t>0105
8210051200,244</t>
  </si>
  <si>
    <t>2.4.1.3. на осуществление воинского учета на территориях, на которых отсутствуют структурные подразделения военных комиссариатов</t>
  </si>
  <si>
    <t>Постановление Правительства РФ от 29 апреля 2006 № 258 «О субвенциях на осуществление полномочий по первичному воинскому учету на территориях, где отсутствуют военные комиссариаты»</t>
  </si>
  <si>
    <t>Постановление Администрации г.Дивногорска от 23.05.2012 № 126-п "Об утверждении порядка использования субвенции на осуществление полномочий по первичному воинскому учету на территориях, где отсутствуют военные комиссариаты"</t>
  </si>
  <si>
    <t>0203
8210051180,121</t>
  </si>
  <si>
    <t>0203
8210051180,129</t>
  </si>
  <si>
    <t>0203
8210051180,244</t>
  </si>
  <si>
    <t>2.4.1.22. Всероссийская перепись населения</t>
  </si>
  <si>
    <t>ФЗ от 25.01.2002 №8-ФЗ "О всероссийской переписи населения"</t>
  </si>
  <si>
    <t>Распоряжение адм г.Дивногорска от 07.06.2019 №1172р "О создании Комиссии по подготовке и проведению Всероссийской переписи населения 2020 года на территории МО г.Дивногорск"</t>
  </si>
  <si>
    <t>постановление Правительства РФ "Об образовании комисси Правительства РФ по проведению Всероссийской переписи населения 2020года"</t>
  </si>
  <si>
    <t>п.3</t>
  </si>
  <si>
    <t>29.03.2017 №1185</t>
  </si>
  <si>
    <t>2.4.2. за счет субвенций, предоставленных из бюджета субъекта Российской Федерации, всего</t>
  </si>
  <si>
    <t>2.4.2.1.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 (адм комис-8210075140, КДН-8210076040, опека-0140075520, кол.дог-8210074290, соц.под-ка0250075130, формир и содер. Арх. Ф-да-0340075190)-119,129,244,850.</t>
  </si>
  <si>
    <t>ст.44, п.86</t>
  </si>
  <si>
    <t>Закон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договоров и территориальных соглашений и контроля за их выполнением</t>
  </si>
  <si>
    <t>19.02.2014 - не установ</t>
  </si>
  <si>
    <t>Постановление Администрации г.Дивногорска от 10.09.2014 № 201п "Об утверждении порядка использования субвенции на реализацию Закона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договорв и территориальных соглашений и контроля за их выполнением"</t>
  </si>
  <si>
    <t>0104
8210074290,129</t>
  </si>
  <si>
    <t>0104
8210074290,244</t>
  </si>
  <si>
    <t>ст.44, п.56</t>
  </si>
  <si>
    <t>Закон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</si>
  <si>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29.05.2009 - не установ</t>
  </si>
  <si>
    <t>Постановление Администрации г.Дивногорска от 09.04.2012 № 74п "Об утверждении порядка использования субвенции на реализацию Закона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</si>
  <si>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0104
8210075140,129</t>
  </si>
  <si>
    <t>Закон Красноярского края от 23.04.2009 № 8-3168 "Об административных комиссиях в Красноярском крае"</t>
  </si>
  <si>
    <t>28.05.2009 - не установ</t>
  </si>
  <si>
    <t>0104
8210075140,244</t>
  </si>
  <si>
    <t>ст.44, п.55</t>
  </si>
  <si>
    <t>Закон Красноярского края от 26.12.2006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</si>
  <si>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01.01.2007 - не установ</t>
  </si>
  <si>
    <t>Постановление Администрации г.Дивногорска от 01.02.2010 № 95п "Об утверждении порядка использования субвенции на реализацию Закона Красноярского края от 26.12.2006 года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</si>
  <si>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0104
8210076040,129</t>
  </si>
  <si>
    <t>Закон Красноярского края от 31.10.2002 № 4-608 "О системе профилактики безнадзорности и правонарушений несовершеннолетних"</t>
  </si>
  <si>
    <t>08.12.2002 - не установ</t>
  </si>
  <si>
    <t>0104
8210076040,244</t>
  </si>
  <si>
    <t>Закон края от 11.07.2019 года №7-2988 "О наделении органов местного самоуправления муниципальных районов и городских округов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t>
  </si>
  <si>
    <t>02.09.2008-не установ</t>
  </si>
  <si>
    <t>1006
8210002890,129</t>
  </si>
  <si>
    <t>1006
8210002890,244</t>
  </si>
  <si>
    <r>
      <t xml:space="preserve">1006
</t>
    </r>
    <r>
      <rPr>
        <b/>
        <sz val="8"/>
        <rFont val="Times New Roman"/>
        <family val="1"/>
        <charset val="204"/>
      </rPr>
      <t>8210075870</t>
    </r>
    <r>
      <rPr>
        <sz val="8"/>
        <rFont val="Times New Roman"/>
        <family val="1"/>
        <charset val="204"/>
      </rPr>
      <t>,129</t>
    </r>
  </si>
  <si>
    <r>
      <t xml:space="preserve">1006
</t>
    </r>
    <r>
      <rPr>
        <b/>
        <sz val="8"/>
        <rFont val="Times New Roman"/>
        <family val="1"/>
        <charset val="204"/>
      </rPr>
      <t>8210075870</t>
    </r>
    <r>
      <rPr>
        <sz val="8"/>
        <rFont val="Times New Roman"/>
        <family val="1"/>
        <charset val="204"/>
      </rPr>
      <t>,244</t>
    </r>
  </si>
  <si>
    <t>Закон красноярского края от 08.07.2021 №11-5284 "О наделении органов местного самоуправления муниципальных районов, муниципальных округов и городских округов края отдельными государственными полномочиями по обеспечению предоставления мер социальной поддержки гражданам, достигших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t>
  </si>
  <si>
    <t>23.07.2021- не установ.</t>
  </si>
  <si>
    <t>0104
8210078460,129</t>
  </si>
  <si>
    <t>О709
0140078460,129</t>
  </si>
  <si>
    <t>О709
0140078460,244</t>
  </si>
  <si>
    <t>Федеральный закон от 22 октября 2004 г. N 125-ФЗ "Об архивном деле в Российской Федерации" </t>
  </si>
  <si>
    <t>статья 15</t>
  </si>
  <si>
    <t>22.10.2004 - бессрочный</t>
  </si>
  <si>
    <t xml:space="preserve">Закон Красноярского края от 21.12.2010 № 11-5564 "О наделении органов местного самоуправления государственными полномочиями в области архивного дела"
</t>
  </si>
  <si>
    <t xml:space="preserve">30.12.2010 - бессрочный
</t>
  </si>
  <si>
    <t xml:space="preserve">Постановление администрации города Дивногорска от 30.03.2012 № 67п "Об утверждении порядка использования субвенции на реализацию Закона Красноярского края от 21.12.2010 № 11-5564 «О наделении органов местного самоуправления государственными полномочиями в области архивного дела» </t>
  </si>
  <si>
    <t>0804
0340075190,120</t>
  </si>
  <si>
    <t>Постановление Правительства Красноярского края от 24.05.2011 № 287п «Об утверждении порядка назначения и предоставления единовременной выплаты гражданам, усыновившим (удочерившим) детей-сирот и детей, оставшихся без попечения родителей, в возрасте 7 лет и старше, проживающих на территории Красноярского края, и порядка возврата полученных усыновителями денежных средств при отмене усыновления (удочерения) ребенка»</t>
  </si>
  <si>
    <t>0804
0340075190,244</t>
  </si>
  <si>
    <t xml:space="preserve">Федеральный закон от 24.04.2008 г. N 48-ФЗ "Об опеке и попечительстве" </t>
  </si>
  <si>
    <t>01.09.2008 - бессрочный</t>
  </si>
  <si>
    <t xml:space="preserve">Закон Красноярского края от 22.10.1997 N 15-590 "Об организации работы по опеке и попечительству в Красноярском крае", Закон Красноярского края от 20.12.2007 N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
</t>
  </si>
  <si>
    <t xml:space="preserve">Постановление администрации г. Дивногорска от 27.03.2012 № 63п "О наделении государственными полномочиями отдел образования  администрации города Дивногорска" </t>
  </si>
  <si>
    <t>0709
0140075520,120</t>
  </si>
  <si>
    <t>0709
0140075520,244</t>
  </si>
  <si>
    <t>0709
0140075520,853</t>
  </si>
  <si>
    <t>2.4.2.2.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самоуправления-111,121</t>
  </si>
  <si>
    <t>0104
8210074290,121</t>
  </si>
  <si>
    <t>0104
8210075140,121</t>
  </si>
  <si>
    <t>0104
8210076040,121</t>
  </si>
  <si>
    <t>1006
8210002890,120</t>
  </si>
  <si>
    <t>0104
8210078460,121</t>
  </si>
  <si>
    <r>
      <t xml:space="preserve">1006
</t>
    </r>
    <r>
      <rPr>
        <b/>
        <sz val="8"/>
        <rFont val="Times New Roman"/>
        <family val="1"/>
        <charset val="204"/>
      </rPr>
      <t>8210075870</t>
    </r>
    <r>
      <rPr>
        <sz val="8"/>
        <rFont val="Times New Roman"/>
        <family val="1"/>
        <charset val="204"/>
      </rPr>
      <t>,121</t>
    </r>
  </si>
  <si>
    <t>0709
0140078460,121</t>
  </si>
  <si>
    <t>0804
0340075190,121</t>
  </si>
  <si>
    <t>0709
0140075520,121</t>
  </si>
  <si>
    <t>2.4.2.28.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</si>
  <si>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ст.44, п.34</t>
  </si>
  <si>
    <t>Закон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попечения родителей, а также лиц из их числа, не имеющих жилого помещения"</t>
  </si>
  <si>
    <t>01.01.2010 - не установ</t>
  </si>
  <si>
    <t>остановление администрации города от 18.06.2014 № 141п "Об утверждении порядка взаимодействия отделов и специалистов администрации города Дивногорска по реализации зЗакона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оставщихся без попечения родителей, лиц из числа детей-сирот и детей, оставшихся бех попечения родителей"</t>
  </si>
  <si>
    <t xml:space="preserve">1004
014007587.412
</t>
  </si>
  <si>
    <t>Закон Красноярского края от 02.11.2000 № 12-961 "О защите прав ребенка"</t>
  </si>
  <si>
    <t>ст.17</t>
  </si>
  <si>
    <t>09.12.2000 - не установ</t>
  </si>
  <si>
    <t>0113
8210078460,244</t>
  </si>
  <si>
    <t>Постановление ПравительстваРФ от 30.12.2017 №1710 "Об утверждении государственной программы РФ "Обеспечение доступным и комфортным жильем и коомунальными услугами граждан РФ"</t>
  </si>
  <si>
    <t xml:space="preserve"> Постановление Правительства Красн, краяот 23.01.2025 №34-п "Об утверждении распределения субсидий бюджетам муниципальных образований Красноярского края на предоставление социальных выплат молодым семьям на приобретение (строительство) жилья на 2025 год и пл пер.2026-2027гг"</t>
  </si>
  <si>
    <t>п.п. 3.2</t>
  </si>
  <si>
    <t>с 01.01.2014; действует по настояще время</t>
  </si>
  <si>
    <t>Распоряжение администрации города Дивногорска "ОБ утверждении порядка расходования субсидии, предоставляемой в 2025г бюджету г.Дивногорска из краевого бюджета на предоставление соц выплат молодым семья на приобретение (строительство) жилья</t>
  </si>
  <si>
    <t>336р</t>
  </si>
  <si>
    <t>1004
01400L820,412</t>
  </si>
  <si>
    <t>2.4.2.35.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Федерации)(024001510)</t>
  </si>
  <si>
    <t>Соглашение о предоставлении субсиди из краевого бюджета бюджету города Дивногорска Красноярского края на предоставление соц выплат мол семьям на приобретение (строителдьство)жилья</t>
  </si>
  <si>
    <t>№04709000-12024-002/1</t>
  </si>
  <si>
    <t>Закон РФ от 06.10.2003г. №131-ФЗ "Об общих принципах организации местного самоуправления в Российской Фелдерации"</t>
  </si>
  <si>
    <t>ст. 19</t>
  </si>
  <si>
    <t>01.01.2009; действует по настоящее время</t>
  </si>
  <si>
    <t xml:space="preserve"> к ЗКК от 09.12.2010 г. № 11-5397 "О наделении органов местного самоуправления МО края гос.полномочиями по социальному обслуживанию населения" ; </t>
  </si>
  <si>
    <t>приложение № 2</t>
  </si>
  <si>
    <t>01.01.2011; действует по настоящее время</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</si>
  <si>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граждан)-0110075540, 0220006400</t>
  </si>
  <si>
    <t>ст.44, п.29</t>
  </si>
  <si>
    <t xml:space="preserve">Закон Красноярского края от 27.10.2005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 Закон Красноярского края от 26.06.2014 № 6-2519 «Об образовании в Красноярском крае". </t>
  </si>
  <si>
    <t>01.01.2008 - бесрочный</t>
  </si>
  <si>
    <t>Постановление администрации г. Дивногорска от 11.04.2014 № 82п "О порядке расходования и учета субвенций на реализацию государственных полномочий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t>
  </si>
  <si>
    <t>0701
0110075540,612</t>
  </si>
  <si>
    <t>0701
0110075540,622</t>
  </si>
  <si>
    <t>0701
0110075540,870</t>
  </si>
  <si>
    <t>2.4.2.37.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граждан)0120075660, 011075560</t>
  </si>
  <si>
    <t>1003
0120075660,612</t>
  </si>
  <si>
    <t xml:space="preserve">Постановление администрации города Дивногорска от 07.02.2014 № 08п "О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t>
  </si>
  <si>
    <t>1003
0120075660,622</t>
  </si>
  <si>
    <t>ст.44, п.27,50</t>
  </si>
  <si>
    <t>Закон Красноярского края от 27.12.2005 №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детей, обучающихся в муниципальных образовательных учреждениях, реализующих основные общеобразовательные программы, без взимания платы"</t>
  </si>
  <si>
    <t>cт.в целом</t>
  </si>
  <si>
    <t>13.01.2006 - не установ</t>
  </si>
  <si>
    <t>1003
0120075660,870</t>
  </si>
  <si>
    <t>Закон Красноярского края от 29.03.2007 № 22-6015 "О наделении органов местного самоуправления муниципальных районов и городских округов края государственными полномочиями по выплате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t>
  </si>
  <si>
    <t>25.04.2007 - не установ</t>
  </si>
  <si>
    <t>1004
0110075560,321</t>
  </si>
  <si>
    <t>2.4.2.41.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</si>
  <si>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ст.44, п. 57</t>
  </si>
  <si>
    <t xml:space="preserve">Закон Красноярского края от 07.07.2009 N 8-3618 "Об обеспечении прав детей на отдых, оздоровление и занятость в Красноярском крае"  </t>
  </si>
  <si>
    <t>0707
0130076490,110</t>
  </si>
  <si>
    <t>0709
013007649,244</t>
  </si>
  <si>
    <t>0709
0130076490,321</t>
  </si>
  <si>
    <t>0709
013007649,323</t>
  </si>
  <si>
    <t>0709
0130076490,612</t>
  </si>
  <si>
    <t>0707/0709
0130076490,622</t>
  </si>
  <si>
    <t>2.4.2.45.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</si>
  <si>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2.4.2.60. на установление подлежащих государственному регулированию цен (тарифов) на товары (услуги) в соответствии с законодательством Российской Федерации</t>
  </si>
  <si>
    <t>ст.44, п.104</t>
  </si>
  <si>
    <t xml:space="preserve">Закон Красноярского края от 20.12.2012 № 3-959 "О наделении органов местного самоуправления городских округов и муниципальных районов края отдельными государственными полномочиями Красноярского края по реализации временных мер поддержки населения в целях обеспечения доступности коммунальных услуг" </t>
  </si>
  <si>
    <t>01.01.2013 - не установ</t>
  </si>
  <si>
    <t>0502
0810075700,631</t>
  </si>
  <si>
    <t>ЗККр от 01.12.2014 №7-2835 "Об отдельных мерах по обеспечению ограничения платы граждан за коммунальные услуги" , от 01.12.2014 №7-2839 "О наделении омсу городских округов и муниципальных районов края отдельными государственными полномочиями Красн.кр.по реализхации отдельных мер по обеспечению ограничения платы граждан за коммунальные услуги"</t>
  </si>
  <si>
    <t>Постановление адм г.Дивногорска от 07.07.2017 № 129п "Об утверждении Положения о порядке предоставления субсидий в целях возмещения недополученных доходов и (или) финансового обеспечения (возмещения) затрат, возникающих в связи с применением предельного индекса при оказании коммунальнгых услуг, в соответствии с законодательством Красноярсого края от 01.12.2014 №7-2835 "Об отдельных мерах по обеспечению ограничения платы граждан за коммунальные услуги" на территории МО г.Дивногорск"</t>
  </si>
  <si>
    <t>0502
0810075700,811</t>
  </si>
  <si>
    <r>
      <rPr>
        <b/>
        <sz val="8"/>
        <rFont val="Tahoma"/>
        <family val="2"/>
        <charset val="204"/>
      </rPr>
      <t>гх</t>
    </r>
    <r>
      <rPr>
        <sz val="8"/>
        <rFont val="Tahoma"/>
        <family val="2"/>
        <charset val="204"/>
      </rPr>
      <t>-</t>
    </r>
    <r>
      <rPr>
        <b/>
        <sz val="8"/>
        <rFont val="Tahoma"/>
        <family val="2"/>
        <charset val="204"/>
      </rPr>
      <t>2.4.2.85.1</t>
    </r>
    <r>
      <rPr>
        <sz val="8"/>
        <rFont val="Tahoma"/>
        <family val="2"/>
        <charset val="204"/>
      </rPr>
      <t>. 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владельцев;.3285.1.0412.1 010,7.325,0.1 010,7"</t>
    </r>
  </si>
  <si>
    <t>Гх приют,содержание животных</t>
  </si>
  <si>
    <t>Закон Красноярского края от 13.06.2013 № 4-1402 "О наделении органов местного самоуправления муниципальных районов и городских округов края отдельными государственными полномочиями по организации проведения мероприятий по отлову, учету, содержанию и иному обращению с безнадзорными домашними животными"</t>
  </si>
  <si>
    <t>11.07.2013 - не установ</t>
  </si>
  <si>
    <t>0412
0810075180,110</t>
  </si>
  <si>
    <t>0412
0810075180,244</t>
  </si>
  <si>
    <t>ст.44, п.143</t>
  </si>
  <si>
    <t>2.5.Расходы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t>
  </si>
  <si>
    <t>2.5.1.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местности)-0120074090, 0120075640.</t>
  </si>
  <si>
    <t xml:space="preserve">Закон Красноярского края от 26.06.2014 № 6-2519 «Об образовании в Красноярском крае" </t>
  </si>
  <si>
    <t>28.07.2014 - бесрочный</t>
  </si>
  <si>
    <t xml:space="preserve">Постановление администрации г. Дивногорска от 12.12.2017 № 231п "Об утверждении порядка расходования субвенции на финансовое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общего образования, дополнительного образования детей в муниципальных образовательных организациях". Постановление администрации города Дивногорска от 30.09.2015 № 152п "Об утверждении муниципальной программы "Система образования города Дивногорска" </t>
  </si>
  <si>
    <t>ст.44, п.27</t>
  </si>
  <si>
    <t>0702
0120074090,110</t>
  </si>
  <si>
    <t>0702
0120074090,611</t>
  </si>
  <si>
    <t>0702
0120074090,621</t>
  </si>
  <si>
    <t>0702
0120074090,870</t>
  </si>
  <si>
    <t>0702
012007564,110</t>
  </si>
  <si>
    <t>0702
012007564,244</t>
  </si>
  <si>
    <t>0702
012007564,611</t>
  </si>
  <si>
    <t>0702
012007564,614</t>
  </si>
  <si>
    <t>0702
012007564,612</t>
  </si>
  <si>
    <t>0702
012007564,621</t>
  </si>
  <si>
    <t>0702
012007564,622</t>
  </si>
  <si>
    <t>0702
012007564,870</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</si>
  <si>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организациях)-0110074080, 0110075880.</t>
  </si>
  <si>
    <t>0701
0110074080,611</t>
  </si>
  <si>
    <t>Федеральный закон от 29.12.2012 № 273-ФЗ "Об образовании в Российской Федерации"</t>
  </si>
  <si>
    <t>ст.8, часть 1, пункт 3</t>
  </si>
  <si>
    <t>30.12.2012 - не установ</t>
  </si>
  <si>
    <t>0701
0110074080,612</t>
  </si>
  <si>
    <t>0701
0110074080,621</t>
  </si>
  <si>
    <t>0701
0110074080,870</t>
  </si>
  <si>
    <t>0701
0110075880,611</t>
  </si>
  <si>
    <t>0701
0110075880,612</t>
  </si>
  <si>
    <t>0701
0110075880,621</t>
  </si>
  <si>
    <t>0701
0110075880,622</t>
  </si>
  <si>
    <t>0701
0110075880,870</t>
  </si>
  <si>
    <t>2.5.4.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</si>
  <si>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О703
0120075640,611</t>
  </si>
  <si>
    <t>О703
0120075640,614</t>
  </si>
  <si>
    <t>О703
0120075640,621</t>
  </si>
  <si>
    <t>О703
0120075640,624</t>
  </si>
  <si>
    <t>О703
0120075640,870</t>
  </si>
  <si>
    <t>2.6.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</si>
  <si>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2.6.1. по предоставлению субсидий в бюджет субъекта Российской Федерации, всего</t>
  </si>
  <si>
    <t>2.6.2. по предоставлению иных межбюджетных трансфертов, всего</t>
  </si>
  <si>
    <t>2.6.2.1. адм 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t>
  </si>
  <si>
    <t>2.7.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</si>
  <si>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</si>
  <si>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</si>
  <si>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отчетный АЦК</t>
  </si>
  <si>
    <t>разница субв</t>
  </si>
  <si>
    <t>надо субвенций</t>
  </si>
  <si>
    <t>разница общ</t>
  </si>
  <si>
    <t>надо всего</t>
  </si>
  <si>
    <t>отчетный 2024</t>
  </si>
  <si>
    <t>Всего</t>
  </si>
  <si>
    <t>в т.ч за счет целевых средств федерального бюджета</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</si>
  <si>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</si>
  <si>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</si>
  <si>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</si>
  <si>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утвержденные бюджетные назначения</t>
  </si>
  <si>
    <t>исполнено</t>
  </si>
  <si>
    <t>31=33+35+37+39</t>
  </si>
  <si>
    <t>32=34+36+38+40</t>
  </si>
  <si>
    <t>было</t>
  </si>
  <si>
    <t>добавить</t>
  </si>
  <si>
    <t>снять</t>
  </si>
  <si>
    <t>должно быть</t>
  </si>
  <si>
    <t>текущий 2025</t>
  </si>
  <si>
    <t>плановый 2026</t>
  </si>
  <si>
    <t>41=42+43+44+45</t>
  </si>
  <si>
    <t>46=47+48+49+50</t>
  </si>
  <si>
    <t>Руководитель 
Финансового управления 
администрации города Дивногорска                                  Л.И. Прикатова</t>
  </si>
  <si>
    <t>плановый период</t>
  </si>
  <si>
    <t>2027г.</t>
  </si>
  <si>
    <t>2028г.</t>
  </si>
  <si>
    <t>51=52+53+54+55</t>
  </si>
  <si>
    <t>56=57+58+59+60</t>
  </si>
  <si>
    <t>номер статья (подстатья),пункта (подпункта)</t>
  </si>
  <si>
    <t>номер пункта (подпункта)</t>
  </si>
  <si>
    <t>Нормативно-правовые акты, договоры, соглашения субъекта Российской Федерации</t>
  </si>
  <si>
    <t>Нормативно-правовые аты, договоры, соглашения Российской Федерации</t>
  </si>
  <si>
    <t>Нормативно-правовые акты, договоры, соглашения муниципального образования</t>
  </si>
  <si>
    <t>Правовое основание финансового обеспечения полномочия, расходного обязательства муниципального образования</t>
  </si>
  <si>
    <t>Наименование полномочия, расходного обязательства</t>
  </si>
  <si>
    <t>Код группы полномочий, расходных обязательств</t>
  </si>
  <si>
    <t>Объем средств на исполнение расходного обязательства муниципального образования</t>
  </si>
  <si>
    <t>Код бюджетной классификации РФ
раздел\подраздел</t>
  </si>
  <si>
    <t>не установлен</t>
  </si>
  <si>
    <t>РРО МО город Дивногорск корр. №11 от   17.12.2025г.</t>
  </si>
  <si>
    <t>статья 16, пункт 1, п\пункт 19</t>
  </si>
  <si>
    <t>06.10.2003 -не установлен</t>
  </si>
  <si>
    <t xml:space="preserve">Постановление администрации города
Дивногорска от 25.09.2013 № 187п  Об утверждении Положения об оплате труда работников
муниципального специализированного казенного 
учреждения по ведению бюджетного учета
«Межведомственная централизованная бухгалтерия»
 </t>
  </si>
  <si>
    <t xml:space="preserve"> от 25.09.2013</t>
  </si>
  <si>
    <t>постановление Правительства Красноярского края от 23.01.2025 № 36 " Об утверждении Методики распределения иных межбюджетных трансфертов бюджетам муниципальных образований Красноярского края на оснащение предметных кабинетов общеобразовательных организаций средствами обучения и воспитания, правил их предоставления и распределения на 2025 год"</t>
  </si>
  <si>
    <t>Соглашение о предоставлении иного межбюджетного трансферта из бюджета от 03.02.25 № 04709000-1-2025-009
Красноярского края бюджету городского округа города Дивногорск на оснащение
предметных кабинетов общеобразовательных организаций средствами обучения и
воспитания в 2025 году</t>
  </si>
  <si>
    <t>постановлением администрации города Дивногорска от 28.10.2011 № 274п «Об утверждении Порядка определения объема и условия предоставления из бюджета г. Дивногорска муниципальным бюджетным и автономным учреждениям субсидий на цели, не связанные с финансовым обеспечением выполнения муниципального задания на оказание муниципальных услуг (выполнение работ)»</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</si>
  <si>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30.09.2015 №152п «Система образования города Дивногорска» (в ред. пост. №142п от 24.07.2018);</t>
  </si>
  <si>
    <t>Соглашение от 14.05.2025 № Б/Н «О предоставлении субсидии бюджету городского округа город Дивногорск для предоставления горячего питания обучающимся общеобразовательных организаций в 2025 году</t>
  </si>
  <si>
    <t>Соглашение от 14.05.2025  «О предоставлении субсидии бюджету городского округа город Дивногорск Красноярского края  на проведение мероприятий по обеспечнию антитеррористической защищенности объектов образования в 2025 году</t>
  </si>
  <si>
    <t>Постановление Правительства Красноярского края от 30 января 2023 г. N 58-п"Об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
"Об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t>
  </si>
  <si>
    <t>Соглашение о предоставлении субсидии из бюджета Красноярского края бюджету
городского округа города Дивногорск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
предусматривающим наличие горячего блюда, не считая горячего напитка в 2025-2027
годах № 04709000-1-2025-004 от 20.01.2025</t>
  </si>
  <si>
    <t>Распоряжение администрации города Дивногорска от 29.03.2022 № 454р " Об организации отдыха, оздаровления детей и подростков"</t>
  </si>
  <si>
    <t>Постановление Правительства Красноярского края от 26.03.2025 № 244-п "Об утверждении распределения субсидии бюджетам муниципальных образований Красноярского края на модернизацию и укрепление МБТ муниципальных физкультурно-спортивных организаций, осуществляющих деятельность в области физической культуры и спорта в 2025 году</t>
  </si>
  <si>
    <t>Постановление Правительства Красноярского края от 29.04.2025 № 359-п "Об утверждении распределения субсидии бюджетам муниципальных образований Красноярского края на обеспечение мунципальных организаций осуществляющих спортивную подготовку в соответствиии с требованиями федеральных стандартов спортивной подготовки в 2025 году</t>
  </si>
  <si>
    <t>Постановление Правительства Красноярского края от 25.04.2025 № 353-п "Об утверждении распределения субсидии бюджетам муниципальных образований Красноярского края на развитие детско-юношеского спорта в 2025 году</t>
  </si>
  <si>
    <t xml:space="preserve"> 25.04.2025</t>
  </si>
  <si>
    <t>Постановление Правительства Красноярского края от 13.02.2024 № 89-п "Об утверждении распределении иных межбюджетных трансфертов  бюджетам муниципальных образований Красноярского края на поддержку физкультурно-спортивных клубов по месту жительства на 2025 год</t>
  </si>
  <si>
    <t>Соглашение о предоставлении из бюджета городского округа муниципальному бюджетному учреждению субсидии 3 ИЦ от 31.03.2025</t>
  </si>
  <si>
    <t>Постановление администрации г. Дивногорска от 23.12.2022 № 224п "Об утверждении примерного Положения об оплате труда работников муниципальных бюджетных учреждений, подведомственных отделуфизической культуры, спорта и молодежной полититки  администрации города Дивногорска"
 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t>
  </si>
  <si>
    <t>Постановление администрации города Дивногорска от 09.09.2022 № 156п "Об утверждении Порядка определения объема и условий Предоставления субсидий на иные цели из бюджета городского округа город Дивногорск"</t>
  </si>
  <si>
    <t>Соглашение о предоставлении субсидии бюджету муниципального образовая № 40 от 31.01.2025</t>
  </si>
  <si>
    <t>Постановление администрации города Дивногорска от 18.05.2012 № 122п "Об утверждении Примерного положенияоб оплатетруда
работников муниципальныхучреждений в сфере культуры"</t>
  </si>
  <si>
    <t>Соглашение о предоставлении субсидии из бюджета субъекта Российской Федерации местному бюджету от 21.01.2025г. № 04709000-1-2025-003</t>
  </si>
  <si>
    <t>Соглашение о предоставлении субсидии местному бюджету из краевого бюджета от 14.05.2025г. № 163</t>
  </si>
  <si>
    <t>постановление Правительства Красноярского края от 31.12.2019 N 793-п "Об утверждении Порядка предоставления и распределения иных межбюджетных трансфертов бюджетам муниципальных образований Красноярского края на осуществление расходов, направленных на реализацию мероприятий по поддержке местных инициатив", Постановление Правительства Красноярского края от 14 марта 2025 г. N 208-п
"Об утверждении распределения иных межбюджетных трансфертов бюджетам муниципальных образований Красноярского края на осуществление расходов, направленных на реализацию мероприятий по поддержке местных инициатив, на 2025 год"</t>
  </si>
  <si>
    <t>Соглашение о предоставлении иного межбюджетного трансферта из краевого бюджета местному бюджету от 26.03.2025г. № 115/12-25</t>
  </si>
  <si>
    <t>Соглашение о предоставлении субсидии местному бюджету из краевого бюджета от 15.05.2025 № 6</t>
  </si>
  <si>
    <t>Соглашение о предоставлении субсидии местному бюджету из краевого бюджета от 14.05.2025 № 175</t>
  </si>
  <si>
    <t>Соглашение о предоставлении субсидии местному бюджету из краевого бюджета в 2025 году № 4 от 14.04.2025</t>
  </si>
  <si>
    <t>Решение городского совета депутатов от 18.06.2015 №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 г. Дивногорск</t>
  </si>
  <si>
    <t xml:space="preserve">Постановление администрации г. Дивногорска от 29.09.2019 № 167п Об утверждении Примерного положения об оплате труда работников муниципальных учреждений в области образования </t>
  </si>
  <si>
    <t>Решение Дивногорского городского Совета депутатов от 24.11.2021 №16-100-ГС</t>
  </si>
  <si>
    <t xml:space="preserve">Постановление администарции города Дивногорска от 24.12.2012 № 264п "Об утверждении Положения о порядке и условиях формирования муниципального задания в отношении муниципальных учреждений, финансового обеспечения и оценки выполнения муниципального задания", Постановление администрации города Дивногорска от 30.09.2015 № 152п "Об утверждении муниципальной программы "Система образования города Дивногорска" </t>
  </si>
  <si>
    <t>Постановление Правительства Красноярского края от 26.03.2025 № 247-п "Об утверждении распределения в 2025 году 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t>
  </si>
  <si>
    <t>Постановление Правительства Красноярского края от 14.05.2025 №409-п "Об утверждении распредления субсидий бюджетам МО на финансирование расходов по капремонту…объектов электросетевого хозяйства, водовснабжения, водоотведения"</t>
  </si>
  <si>
    <t>30.06.2025-не установлен</t>
  </si>
  <si>
    <t>Соглашение о предоставлении субсидии бюджету Городского округа город Дивногорск Красноярского края из краевого бюджета от 30.06.2025 №32-1</t>
  </si>
  <si>
    <t>Постановление Правительства Кр.кр. От 28.01.2025 №50-п "Об утверждении распределении в 2025г субсидий бюджетам МО Кр.кр на реализацию мероприятий ведомственного ропекта Цдороги Красноярья"</t>
  </si>
  <si>
    <t>28.01.2025-не установлен</t>
  </si>
  <si>
    <t>Соглашение о предоставлению бюджету гор окр г.Дивногорск Кр кр из краевого бюджета субсидии на осуществ дор деят в целях решения СЭР территории за счет средств дорожного фонда</t>
  </si>
  <si>
    <t>18.04.2025 №223/С</t>
  </si>
  <si>
    <t>18.04.2025-не установлен</t>
  </si>
  <si>
    <t>Постановление Правительства Красн.кр от 28.01.2025 №50-п "Об утверждении распределения в 2025 субсидий МО Крас кр на реализацию мероприятий ведомственного проекта "Дороги Красноярья"</t>
  </si>
  <si>
    <t>в цело</t>
  </si>
  <si>
    <t>Гослашение о предоставлении бюджету гор окр г.Дивногорск Красн кр из краевого бюджета субсидии на капремонт и ремонт автодорог общего пользования местного значения за счет средств дорожного фонда Кр кр</t>
  </si>
  <si>
    <t>18.04.2025 -не установлен</t>
  </si>
  <si>
    <t>Методика распределения иных межбюджетных трансфертов, утвержденная Постановлением Правительства Кр кр от 12.04.2024 №252-п</t>
  </si>
  <si>
    <t>12.04.2024-не установлен</t>
  </si>
  <si>
    <t>Соглашение о предоставлении иного межбюджетного трансферта из кр.бюджета бюджету гор Дивногорска Кр кр от 17.07.2025 №3/26-25</t>
  </si>
  <si>
    <t>2025-не установлен</t>
  </si>
  <si>
    <t>Постановление Правтельства Кр кр от 30.09.2013 №514-п "Об утверждении прог Кр кр "Создание условий для обеспечения доступным, комфортным жильем граждан"</t>
  </si>
  <si>
    <t>01.01.2013-не установлен</t>
  </si>
  <si>
    <t>Соглашение о предоставлении субсидии местному бюджету их краевого бюджета от 17.04.2024 №9</t>
  </si>
  <si>
    <t>17.04.2024-не установлен</t>
  </si>
  <si>
    <t>Правила формирования, предоставления и распределения субсидий из краевого бюджета, бюджетам МО КР кр , утвержденными Постановлениями Кркр от 30.09.2015 №495-п</t>
  </si>
  <si>
    <t>01.01.205-не установлен</t>
  </si>
  <si>
    <t>Соглашение о предоставлении бюджету гор окр Дивногорск на софинансирование МП формирование современной городской среды от 16.01.2025 №04709000-1-2025-001</t>
  </si>
  <si>
    <t>01.01.2025-не установлен</t>
  </si>
  <si>
    <t>Постановление Правительства Кр кр от 13.12.2019 №708-п "Об утверждении порядка предоставления и распределения субсидий бюджетам МО для поощрения МО-победителей конкурса лучших проектов создания комфортной городской среды</t>
  </si>
  <si>
    <t>01.01.2020-не установлен</t>
  </si>
  <si>
    <t>Соглашение о предоставлении субсидии местному бюджету из краевого бюджета от 14.02.2025 №15-ЛП</t>
  </si>
  <si>
    <t>Постановление Правительства Кркр от 06.03.2020 №150-п "Порядок предоставления и распределения субсидий бюджета МО на организацию туристко-рекреационных зон на территории Кркр</t>
  </si>
  <si>
    <t>Соглашение предоставлении субсидии из бюджета Кр кр бюджету гор окр г.дивногорск на организацию туристко-рекреационной зоны №1 от 06.05.2024</t>
  </si>
  <si>
    <t>06.05.2024-не определен</t>
  </si>
  <si>
    <t>Постановление Правительства Красноярского края от 31.12.2019 № 795-п "Порядок предоставления и распределения субсидий бюджетам муниципальных образований Красноярского края на поддержку деятельности муниципальных молодежных центров</t>
  </si>
  <si>
    <t>31.12.2019-не установлен</t>
  </si>
</sst>
</file>

<file path=xl/styles.xml><?xml version="1.0" encoding="utf-8"?>
<styleSheet xmlns="http://schemas.openxmlformats.org/spreadsheetml/2006/main">
  <numFmts count="1">
    <numFmt numFmtId="164" formatCode="dd/mm/yy;@"/>
  </numFmts>
  <fonts count="30">
    <font>
      <sz val="11"/>
      <color theme="1"/>
      <name val="Calibri"/>
      <family val="2"/>
      <charset val="204"/>
      <scheme val="minor"/>
    </font>
    <font>
      <sz val="8"/>
      <name val="Times New Roman"/>
      <family val="1"/>
      <charset val="204"/>
    </font>
    <font>
      <sz val="8"/>
      <name val="Calibri"/>
      <family val="2"/>
      <charset val="204"/>
      <scheme val="minor"/>
    </font>
    <font>
      <b/>
      <sz val="8"/>
      <name val="Times New Roman"/>
      <family val="1"/>
      <charset val="204"/>
    </font>
    <font>
      <sz val="11"/>
      <name val="Calibri"/>
      <family val="2"/>
      <charset val="204"/>
      <scheme val="minor"/>
    </font>
    <font>
      <sz val="8"/>
      <name val="Times New Roman Cyr"/>
      <family val="1"/>
      <charset val="204"/>
    </font>
    <font>
      <sz val="10"/>
      <name val="Arial Cyr"/>
      <charset val="204"/>
    </font>
    <font>
      <sz val="11"/>
      <color theme="1"/>
      <name val="Calibri"/>
      <family val="2"/>
      <scheme val="minor"/>
    </font>
    <font>
      <b/>
      <sz val="8"/>
      <name val="Times New Roman Cyr"/>
      <family val="1"/>
      <charset val="204"/>
    </font>
    <font>
      <sz val="8"/>
      <name val="Times New Roman Cyr"/>
      <charset val="204"/>
    </font>
    <font>
      <i/>
      <sz val="8"/>
      <name val="Times New Roman Cyr"/>
      <charset val="204"/>
    </font>
    <font>
      <sz val="7"/>
      <name val="Times New Roman"/>
      <family val="1"/>
      <charset val="204"/>
    </font>
    <font>
      <sz val="9"/>
      <name val="Times New Roman"/>
      <family val="1"/>
      <charset val="204"/>
    </font>
    <font>
      <sz val="11"/>
      <name val="Times New Roman Cyr"/>
      <family val="1"/>
      <charset val="204"/>
    </font>
    <font>
      <sz val="10"/>
      <name val="Times New Roman Cyr"/>
      <family val="1"/>
      <charset val="204"/>
    </font>
    <font>
      <sz val="7"/>
      <name val="Calibri"/>
      <family val="2"/>
      <charset val="204"/>
      <scheme val="minor"/>
    </font>
    <font>
      <sz val="10"/>
      <name val="Arial"/>
      <family val="2"/>
      <charset val="204"/>
    </font>
    <font>
      <b/>
      <sz val="8"/>
      <name val="Calibri"/>
      <family val="2"/>
      <charset val="204"/>
      <scheme val="minor"/>
    </font>
    <font>
      <sz val="8"/>
      <name val="Tahoma"/>
      <family val="2"/>
      <charset val="204"/>
    </font>
    <font>
      <b/>
      <sz val="8"/>
      <name val="Tahoma"/>
      <family val="2"/>
      <charset val="204"/>
    </font>
    <font>
      <b/>
      <sz val="10"/>
      <name val="Times New Roman"/>
      <family val="1"/>
      <charset val="204"/>
    </font>
    <font>
      <sz val="16"/>
      <name val="Times New Roman"/>
      <family val="1"/>
      <charset val="204"/>
    </font>
    <font>
      <sz val="10"/>
      <name val="Times New Roman"/>
      <family val="1"/>
      <charset val="204"/>
    </font>
    <font>
      <b/>
      <sz val="11"/>
      <name val="Times New Roman"/>
      <family val="1"/>
      <charset val="204"/>
    </font>
    <font>
      <sz val="11"/>
      <name val="Times New Roman"/>
      <family val="1"/>
      <charset val="204"/>
    </font>
    <font>
      <sz val="8"/>
      <color theme="1"/>
      <name val="Times New Roman"/>
      <family val="1"/>
      <charset val="204"/>
    </font>
    <font>
      <sz val="8"/>
      <color theme="1"/>
      <name val="Calibri"/>
      <family val="2"/>
      <charset val="204"/>
      <scheme val="minor"/>
    </font>
    <font>
      <sz val="8"/>
      <color rgb="FF22272F"/>
      <name val="Times New Roman"/>
      <family val="1"/>
      <charset val="204"/>
    </font>
    <font>
      <sz val="6"/>
      <name val="Calibri"/>
      <family val="2"/>
      <charset val="204"/>
      <scheme val="minor"/>
    </font>
    <font>
      <sz val="6"/>
      <name val="Times New Roman"/>
      <family val="1"/>
      <charset val="204"/>
    </font>
  </fonts>
  <fills count="2">
    <fill>
      <patternFill patternType="none"/>
    </fill>
    <fill>
      <patternFill patternType="gray125"/>
    </fill>
  </fills>
  <borders count="2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6" fillId="0" borderId="0"/>
    <xf numFmtId="0" fontId="7" fillId="0" borderId="0"/>
    <xf numFmtId="0" fontId="16" fillId="0" borderId="0"/>
  </cellStyleXfs>
  <cellXfs count="456">
    <xf numFmtId="0" fontId="0" fillId="0" borderId="0" xfId="0"/>
    <xf numFmtId="0" fontId="1" fillId="0" borderId="4"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3" xfId="0" applyFont="1" applyFill="1" applyBorder="1"/>
    <xf numFmtId="0" fontId="1" fillId="0" borderId="3" xfId="0" applyFont="1" applyFill="1" applyBorder="1" applyAlignment="1">
      <alignment horizontal="center" vertical="top" wrapText="1"/>
    </xf>
    <xf numFmtId="0" fontId="3" fillId="0" borderId="3" xfId="0" applyFont="1" applyFill="1" applyBorder="1"/>
    <xf numFmtId="0" fontId="1" fillId="0" borderId="0" xfId="0" applyFont="1" applyFill="1"/>
    <xf numFmtId="0" fontId="1" fillId="0" borderId="1" xfId="0" applyFont="1" applyFill="1" applyBorder="1" applyAlignment="1">
      <alignment horizontal="center" vertical="center"/>
    </xf>
    <xf numFmtId="0" fontId="1" fillId="0" borderId="1" xfId="0" applyFont="1" applyFill="1" applyBorder="1" applyAlignment="1"/>
    <xf numFmtId="0" fontId="1" fillId="0" borderId="1" xfId="0" applyFont="1" applyFill="1" applyBorder="1"/>
    <xf numFmtId="0" fontId="0" fillId="0" borderId="0" xfId="0" applyFill="1"/>
    <xf numFmtId="0" fontId="1" fillId="0" borderId="0" xfId="0" applyFont="1" applyFill="1" applyAlignment="1">
      <alignment horizontal="center" vertical="center"/>
    </xf>
    <xf numFmtId="0" fontId="1" fillId="0" borderId="0" xfId="0" applyFont="1" applyFill="1" applyAlignment="1"/>
    <xf numFmtId="0" fontId="23" fillId="0" borderId="0" xfId="0" applyFont="1" applyFill="1" applyAlignment="1">
      <alignment vertical="top"/>
    </xf>
    <xf numFmtId="0" fontId="1" fillId="0" borderId="0" xfId="0" applyFont="1" applyFill="1" applyAlignment="1">
      <alignment vertical="top"/>
    </xf>
    <xf numFmtId="0" fontId="3" fillId="0" borderId="1" xfId="0" applyFont="1" applyFill="1" applyBorder="1" applyAlignment="1"/>
    <xf numFmtId="0" fontId="3" fillId="0" borderId="0" xfId="0" applyFont="1" applyFill="1" applyBorder="1" applyAlignment="1"/>
    <xf numFmtId="0" fontId="3" fillId="0" borderId="0" xfId="0" applyFont="1" applyFill="1" applyBorder="1" applyAlignment="1"/>
    <xf numFmtId="0" fontId="1" fillId="0" borderId="9" xfId="0" applyFont="1" applyFill="1" applyBorder="1" applyAlignment="1">
      <alignment horizontal="center" vertical="center" wrapText="1"/>
    </xf>
    <xf numFmtId="49" fontId="1" fillId="0" borderId="21"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1" fillId="0" borderId="21"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49" fontId="1" fillId="0" borderId="4"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1" fillId="0" borderId="19" xfId="0" applyNumberFormat="1" applyFont="1" applyFill="1" applyBorder="1" applyAlignment="1">
      <alignment horizontal="center" vertical="top" wrapText="1"/>
    </xf>
    <xf numFmtId="0" fontId="4" fillId="0" borderId="16" xfId="0" applyFont="1" applyFill="1" applyBorder="1" applyAlignment="1">
      <alignment horizontal="center" vertical="top" wrapText="1"/>
    </xf>
    <xf numFmtId="49" fontId="1" fillId="0" borderId="5" xfId="0" applyNumberFormat="1" applyFont="1" applyFill="1" applyBorder="1" applyAlignment="1">
      <alignment horizontal="center" vertical="top" wrapText="1"/>
    </xf>
    <xf numFmtId="49" fontId="3" fillId="0" borderId="18"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49" fontId="1" fillId="0" borderId="18" xfId="0" applyNumberFormat="1" applyFont="1" applyFill="1" applyBorder="1" applyAlignment="1">
      <alignment horizontal="center"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49" fontId="1" fillId="0" borderId="16" xfId="0" applyNumberFormat="1" applyFont="1" applyFill="1" applyBorder="1" applyAlignment="1">
      <alignment horizontal="center" vertical="top" wrapText="1"/>
    </xf>
    <xf numFmtId="49" fontId="1" fillId="0" borderId="5"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xf>
    <xf numFmtId="0" fontId="0" fillId="0" borderId="8" xfId="0" applyFill="1" applyBorder="1" applyAlignment="1">
      <alignment horizontal="center" vertical="center" wrapText="1"/>
    </xf>
    <xf numFmtId="49" fontId="1" fillId="0" borderId="8" xfId="0" applyNumberFormat="1" applyFont="1" applyFill="1" applyBorder="1" applyAlignment="1">
      <alignment horizontal="center" vertical="top" wrapText="1"/>
    </xf>
    <xf numFmtId="49" fontId="1" fillId="0" borderId="8" xfId="0" applyNumberFormat="1" applyFont="1" applyFill="1" applyBorder="1" applyAlignment="1">
      <alignment horizontal="center" vertical="top" wrapText="1"/>
    </xf>
    <xf numFmtId="0" fontId="0" fillId="0" borderId="8" xfId="0" applyFill="1" applyBorder="1" applyAlignment="1">
      <alignment horizontal="center" vertical="top"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2" xfId="0" applyFont="1" applyFill="1" applyBorder="1" applyAlignment="1">
      <alignment horizontal="justify" wrapText="1"/>
    </xf>
    <xf numFmtId="0" fontId="3" fillId="0" borderId="3" xfId="0" applyFont="1" applyFill="1" applyBorder="1" applyAlignment="1">
      <alignment horizontal="center" vertical="center"/>
    </xf>
    <xf numFmtId="2" fontId="8" fillId="0" borderId="3" xfId="0" applyNumberFormat="1" applyFont="1" applyFill="1" applyBorder="1"/>
    <xf numFmtId="2" fontId="3" fillId="0" borderId="3" xfId="0" applyNumberFormat="1" applyFont="1" applyFill="1" applyBorder="1"/>
    <xf numFmtId="0" fontId="1" fillId="0" borderId="9" xfId="0" applyFont="1" applyFill="1" applyBorder="1" applyAlignment="1">
      <alignment horizontal="justify" wrapText="1"/>
    </xf>
    <xf numFmtId="0" fontId="1" fillId="0" borderId="4" xfId="0" applyFont="1" applyFill="1" applyBorder="1" applyAlignment="1">
      <alignment horizontal="center" vertical="center"/>
    </xf>
    <xf numFmtId="0" fontId="1" fillId="0" borderId="3" xfId="0" applyFont="1" applyFill="1" applyBorder="1" applyAlignment="1"/>
    <xf numFmtId="0" fontId="1" fillId="0" borderId="10" xfId="0" applyFont="1" applyFill="1" applyBorder="1" applyAlignment="1">
      <alignment horizontal="justify" vertical="top" wrapText="1"/>
    </xf>
    <xf numFmtId="0" fontId="1" fillId="0" borderId="8" xfId="0" applyFont="1" applyFill="1" applyBorder="1" applyAlignment="1">
      <alignment horizontal="center" vertical="center"/>
    </xf>
    <xf numFmtId="0" fontId="1" fillId="0" borderId="11" xfId="0" applyFont="1" applyFill="1" applyBorder="1" applyAlignment="1">
      <alignment horizontal="justify" vertical="top" wrapText="1"/>
    </xf>
    <xf numFmtId="0" fontId="1" fillId="0" borderId="3" xfId="0" applyFont="1" applyFill="1" applyBorder="1" applyAlignment="1">
      <alignment horizontal="center" vertical="center"/>
    </xf>
    <xf numFmtId="0" fontId="3" fillId="0" borderId="10" xfId="0" applyFont="1" applyFill="1" applyBorder="1" applyAlignment="1">
      <alignment horizontal="justify" vertical="top" wrapText="1"/>
    </xf>
    <xf numFmtId="0" fontId="3" fillId="0" borderId="10" xfId="0" applyFont="1" applyFill="1" applyBorder="1" applyAlignment="1">
      <alignment horizontal="center" wrapText="1"/>
    </xf>
    <xf numFmtId="0" fontId="3" fillId="0" borderId="3" xfId="0" applyFont="1" applyFill="1" applyBorder="1" applyAlignment="1"/>
    <xf numFmtId="0" fontId="3" fillId="0" borderId="0" xfId="0" applyFont="1" applyFill="1"/>
    <xf numFmtId="0" fontId="1" fillId="0" borderId="12" xfId="0" applyFont="1" applyFill="1" applyBorder="1" applyAlignment="1">
      <alignment horizont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vertical="top" wrapText="1"/>
    </xf>
    <xf numFmtId="14" fontId="1" fillId="0" borderId="4" xfId="0" applyNumberFormat="1" applyFont="1" applyFill="1" applyBorder="1" applyAlignment="1">
      <alignment horizontal="center" vertical="top" wrapText="1"/>
    </xf>
    <xf numFmtId="0" fontId="1" fillId="0" borderId="3" xfId="0" applyFont="1" applyFill="1" applyBorder="1" applyAlignment="1">
      <alignment horizontal="left" vertical="top" wrapText="1"/>
    </xf>
    <xf numFmtId="0" fontId="2" fillId="0" borderId="0" xfId="0" applyFont="1" applyFill="1" applyAlignment="1">
      <alignment vertical="top" wrapText="1"/>
    </xf>
    <xf numFmtId="14" fontId="2" fillId="0" borderId="0" xfId="0" applyNumberFormat="1" applyFont="1" applyFill="1" applyAlignment="1">
      <alignment vertical="top" wrapText="1"/>
    </xf>
    <xf numFmtId="0" fontId="1" fillId="0" borderId="3" xfId="0" applyFont="1" applyFill="1" applyBorder="1" applyAlignment="1">
      <alignment wrapText="1"/>
    </xf>
    <xf numFmtId="0" fontId="1" fillId="0" borderId="5" xfId="0" applyFont="1" applyFill="1" applyBorder="1" applyAlignment="1">
      <alignment horizontal="center" wrapText="1"/>
    </xf>
    <xf numFmtId="0" fontId="1" fillId="0" borderId="5" xfId="0" applyFont="1" applyFill="1" applyBorder="1" applyAlignment="1">
      <alignment horizontal="center" vertical="top" wrapText="1"/>
    </xf>
    <xf numFmtId="14" fontId="1" fillId="0" borderId="5" xfId="0" applyNumberFormat="1" applyFont="1" applyFill="1" applyBorder="1" applyAlignment="1">
      <alignment horizontal="center" vertical="top" wrapText="1"/>
    </xf>
    <xf numFmtId="0" fontId="1" fillId="0" borderId="3" xfId="0" applyFont="1" applyFill="1" applyBorder="1" applyAlignment="1">
      <alignment horizontal="center" wrapText="1"/>
    </xf>
    <xf numFmtId="14" fontId="1" fillId="0" borderId="3" xfId="0" applyNumberFormat="1" applyFont="1" applyFill="1" applyBorder="1" applyAlignment="1">
      <alignment horizontal="center" vertical="top" wrapText="1"/>
    </xf>
    <xf numFmtId="0" fontId="1" fillId="0" borderId="8" xfId="0" applyFont="1" applyFill="1" applyBorder="1" applyAlignment="1">
      <alignment horizontal="center" vertical="top" wrapText="1"/>
    </xf>
    <xf numFmtId="14" fontId="1" fillId="0" borderId="8" xfId="0" applyNumberFormat="1" applyFont="1" applyFill="1" applyBorder="1" applyAlignment="1">
      <alignment horizontal="center" vertical="top" wrapText="1"/>
    </xf>
    <xf numFmtId="0" fontId="1" fillId="0" borderId="8" xfId="0" applyFont="1" applyFill="1" applyBorder="1" applyAlignment="1">
      <alignment horizontal="center" vertical="top" wrapText="1"/>
    </xf>
    <xf numFmtId="4" fontId="1" fillId="0" borderId="3" xfId="0" applyNumberFormat="1" applyFont="1" applyFill="1" applyBorder="1" applyAlignment="1">
      <alignment wrapText="1"/>
    </xf>
    <xf numFmtId="0" fontId="4" fillId="0" borderId="8" xfId="0" applyFont="1" applyFill="1" applyBorder="1" applyAlignment="1">
      <alignment horizontal="center" wrapText="1"/>
    </xf>
    <xf numFmtId="0" fontId="4" fillId="0" borderId="3" xfId="0" applyFont="1" applyFill="1" applyBorder="1" applyAlignment="1">
      <alignment horizontal="center" wrapText="1"/>
    </xf>
    <xf numFmtId="14" fontId="1" fillId="0" borderId="8" xfId="0" applyNumberFormat="1" applyFont="1" applyFill="1" applyBorder="1" applyAlignment="1">
      <alignment horizontal="center" vertical="top" wrapText="1"/>
    </xf>
    <xf numFmtId="0" fontId="1" fillId="0" borderId="8" xfId="0" applyFont="1" applyFill="1" applyBorder="1" applyAlignment="1">
      <alignment horizontal="center" wrapText="1"/>
    </xf>
    <xf numFmtId="0" fontId="1" fillId="0" borderId="3" xfId="0" applyFont="1" applyFill="1" applyBorder="1" applyAlignment="1">
      <alignment horizontal="left" vertical="top"/>
    </xf>
    <xf numFmtId="0" fontId="1" fillId="0" borderId="3" xfId="0" applyFont="1" applyFill="1" applyBorder="1" applyAlignment="1">
      <alignment vertical="center" wrapText="1"/>
    </xf>
    <xf numFmtId="4" fontId="1" fillId="0" borderId="3" xfId="0" applyNumberFormat="1" applyFont="1" applyFill="1" applyBorder="1" applyAlignment="1">
      <alignment vertical="center" wrapText="1"/>
    </xf>
    <xf numFmtId="0" fontId="1" fillId="0" borderId="10" xfId="0" applyFont="1" applyFill="1" applyBorder="1" applyAlignment="1">
      <alignment horizontal="center" wrapText="1"/>
    </xf>
    <xf numFmtId="0" fontId="1" fillId="0" borderId="1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3" xfId="0" applyFont="1" applyFill="1" applyBorder="1" applyAlignment="1">
      <alignment vertical="top" wrapText="1"/>
    </xf>
    <xf numFmtId="0" fontId="2" fillId="0" borderId="3" xfId="0" applyFont="1" applyFill="1" applyBorder="1" applyAlignment="1">
      <alignment wrapText="1"/>
    </xf>
    <xf numFmtId="14" fontId="2" fillId="0" borderId="3" xfId="0" applyNumberFormat="1" applyFont="1" applyFill="1" applyBorder="1" applyAlignment="1">
      <alignment vertical="top" wrapText="1"/>
    </xf>
    <xf numFmtId="0" fontId="1" fillId="0" borderId="1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3" xfId="0" applyFont="1" applyFill="1" applyBorder="1" applyAlignment="1"/>
    <xf numFmtId="0" fontId="4" fillId="0" borderId="3" xfId="0" applyFont="1" applyFill="1" applyBorder="1" applyAlignment="1">
      <alignment horizontal="center" vertical="top"/>
    </xf>
    <xf numFmtId="0" fontId="2" fillId="0" borderId="3" xfId="0" applyFont="1" applyFill="1" applyBorder="1" applyAlignment="1">
      <alignment horizontal="center" vertical="top" wrapText="1"/>
    </xf>
    <xf numFmtId="14" fontId="28" fillId="0" borderId="3" xfId="0" applyNumberFormat="1" applyFont="1" applyFill="1" applyBorder="1" applyAlignment="1">
      <alignment vertical="top" wrapText="1"/>
    </xf>
    <xf numFmtId="0" fontId="1" fillId="0" borderId="1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left" vertical="top" wrapText="1"/>
    </xf>
    <xf numFmtId="0" fontId="2" fillId="0" borderId="8" xfId="0" applyFont="1" applyFill="1" applyBorder="1" applyAlignment="1">
      <alignment horizontal="center" vertical="top" wrapText="1"/>
    </xf>
    <xf numFmtId="0" fontId="1" fillId="0" borderId="3" xfId="0" applyFont="1" applyFill="1" applyBorder="1" applyAlignment="1">
      <alignment vertical="center"/>
    </xf>
    <xf numFmtId="0" fontId="1" fillId="0" borderId="4" xfId="0" applyFont="1" applyFill="1" applyBorder="1" applyAlignment="1"/>
    <xf numFmtId="0" fontId="1" fillId="0" borderId="4" xfId="0" applyFont="1" applyFill="1" applyBorder="1" applyAlignment="1">
      <alignment wrapText="1"/>
    </xf>
    <xf numFmtId="0" fontId="1" fillId="0" borderId="8" xfId="0" applyFont="1" applyFill="1" applyBorder="1" applyAlignment="1">
      <alignment horizontal="center" wrapText="1"/>
    </xf>
    <xf numFmtId="0" fontId="1" fillId="0" borderId="8" xfId="0" applyFont="1" applyFill="1" applyBorder="1" applyAlignment="1"/>
    <xf numFmtId="0" fontId="1" fillId="0" borderId="8" xfId="0" applyFont="1" applyFill="1" applyBorder="1" applyAlignment="1">
      <alignment wrapText="1"/>
    </xf>
    <xf numFmtId="0" fontId="8" fillId="0" borderId="3" xfId="0" applyFont="1" applyFill="1" applyBorder="1"/>
    <xf numFmtId="0" fontId="5" fillId="0" borderId="3" xfId="0" applyFont="1" applyFill="1" applyBorder="1"/>
    <xf numFmtId="0" fontId="9" fillId="0" borderId="3" xfId="0" applyFont="1" applyFill="1" applyBorder="1"/>
    <xf numFmtId="0" fontId="1" fillId="0" borderId="1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vertical="top" wrapText="1"/>
    </xf>
    <xf numFmtId="0" fontId="1" fillId="0" borderId="8" xfId="0" applyFont="1" applyFill="1" applyBorder="1" applyAlignment="1">
      <alignment vertical="top" wrapText="1"/>
    </xf>
    <xf numFmtId="14" fontId="1" fillId="0" borderId="8" xfId="0" applyNumberFormat="1" applyFont="1" applyFill="1" applyBorder="1" applyAlignment="1">
      <alignment vertical="top"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NumberFormat="1" applyFont="1" applyFill="1" applyBorder="1" applyAlignment="1">
      <alignment wrapText="1"/>
    </xf>
    <xf numFmtId="14" fontId="29" fillId="0" borderId="3" xfId="0" applyNumberFormat="1" applyFont="1" applyFill="1" applyBorder="1" applyAlignment="1">
      <alignment vertical="top" wrapText="1"/>
    </xf>
    <xf numFmtId="0" fontId="1" fillId="0" borderId="1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center" wrapText="1"/>
    </xf>
    <xf numFmtId="0" fontId="1" fillId="0" borderId="4" xfId="0" applyFont="1" applyFill="1" applyBorder="1"/>
    <xf numFmtId="0" fontId="3" fillId="0" borderId="11" xfId="0" applyFont="1" applyFill="1" applyBorder="1" applyAlignment="1">
      <alignment horizontal="justify" vertical="top" wrapText="1"/>
    </xf>
    <xf numFmtId="0" fontId="3" fillId="0" borderId="11" xfId="0" applyFont="1" applyFill="1" applyBorder="1" applyAlignment="1">
      <alignment horizontal="center" wrapText="1"/>
    </xf>
    <xf numFmtId="0" fontId="3" fillId="0" borderId="4" xfId="0" applyFont="1" applyFill="1" applyBorder="1" applyAlignment="1"/>
    <xf numFmtId="0" fontId="3" fillId="0" borderId="4" xfId="0" applyFont="1" applyFill="1" applyBorder="1"/>
    <xf numFmtId="0" fontId="1" fillId="0" borderId="3" xfId="0" applyFont="1" applyFill="1" applyBorder="1" applyAlignment="1">
      <alignment horizontal="justify" vertical="top" wrapText="1"/>
    </xf>
    <xf numFmtId="0" fontId="1" fillId="0" borderId="4" xfId="0" applyFont="1" applyFill="1" applyBorder="1" applyAlignment="1">
      <alignment horizontal="center" vertical="center"/>
    </xf>
    <xf numFmtId="14" fontId="1" fillId="0" borderId="4" xfId="0" applyNumberFormat="1" applyFont="1" applyFill="1" applyBorder="1" applyAlignment="1">
      <alignment horizontal="center" vertical="center" wrapText="1"/>
    </xf>
    <xf numFmtId="2" fontId="5" fillId="0" borderId="3" xfId="0" applyNumberFormat="1" applyFont="1" applyFill="1" applyBorder="1"/>
    <xf numFmtId="0" fontId="1" fillId="0" borderId="16" xfId="0" applyFont="1" applyFill="1" applyBorder="1" applyAlignment="1">
      <alignment horizontal="center" vertical="center" wrapText="1"/>
    </xf>
    <xf numFmtId="0" fontId="1" fillId="0" borderId="5" xfId="0" applyFont="1" applyFill="1" applyBorder="1" applyAlignment="1">
      <alignment horizontal="center" vertical="center"/>
    </xf>
    <xf numFmtId="14" fontId="1" fillId="0" borderId="5" xfId="0" applyNumberFormat="1"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vertical="top" wrapText="1"/>
    </xf>
    <xf numFmtId="0" fontId="2" fillId="0" borderId="5" xfId="0" applyFont="1" applyFill="1" applyBorder="1" applyAlignment="1"/>
    <xf numFmtId="0" fontId="1" fillId="0" borderId="0" xfId="0" applyFont="1" applyFill="1" applyBorder="1" applyAlignment="1">
      <alignment horizontal="center" wrapText="1"/>
    </xf>
    <xf numFmtId="0" fontId="1" fillId="0" borderId="5" xfId="0" applyFont="1" applyFill="1" applyBorder="1"/>
    <xf numFmtId="0" fontId="1" fillId="0" borderId="8" xfId="0" applyFont="1" applyFill="1" applyBorder="1"/>
    <xf numFmtId="0" fontId="2" fillId="0" borderId="8" xfId="0" applyFont="1" applyFill="1" applyBorder="1" applyAlignment="1"/>
    <xf numFmtId="0" fontId="3" fillId="0" borderId="3" xfId="0" applyFont="1" applyFill="1" applyBorder="1" applyAlignment="1">
      <alignment horizontal="center" wrapText="1"/>
    </xf>
    <xf numFmtId="0" fontId="1" fillId="0" borderId="17" xfId="0" applyFont="1" applyFill="1" applyBorder="1" applyAlignment="1">
      <alignment horizontal="center" vertical="center" wrapText="1"/>
    </xf>
    <xf numFmtId="0" fontId="1" fillId="0" borderId="8" xfId="0" applyFont="1" applyFill="1" applyBorder="1" applyAlignment="1">
      <alignment horizontal="center" vertical="center"/>
    </xf>
    <xf numFmtId="14" fontId="1" fillId="0" borderId="8" xfId="0" applyNumberFormat="1" applyFont="1" applyFill="1" applyBorder="1" applyAlignment="1">
      <alignment horizontal="center" vertical="center" wrapText="1"/>
    </xf>
    <xf numFmtId="0" fontId="1" fillId="0" borderId="4" xfId="0" applyFont="1" applyFill="1" applyBorder="1" applyAlignment="1">
      <alignment horizontal="left" vertical="top" wrapText="1"/>
    </xf>
    <xf numFmtId="0" fontId="4" fillId="0" borderId="5" xfId="0" applyFont="1" applyFill="1" applyBorder="1" applyAlignment="1">
      <alignment vertical="top"/>
    </xf>
    <xf numFmtId="0" fontId="4" fillId="0" borderId="5" xfId="0" applyFont="1" applyFill="1" applyBorder="1" applyAlignment="1"/>
    <xf numFmtId="0" fontId="4" fillId="0" borderId="8" xfId="0" applyFont="1" applyFill="1" applyBorder="1" applyAlignment="1">
      <alignment vertical="top"/>
    </xf>
    <xf numFmtId="0" fontId="4" fillId="0" borderId="8" xfId="0" applyFont="1" applyFill="1" applyBorder="1" applyAlignment="1"/>
    <xf numFmtId="49" fontId="1" fillId="0" borderId="4" xfId="0" applyNumberFormat="1" applyFont="1" applyFill="1" applyBorder="1" applyAlignment="1">
      <alignment vertical="top" wrapText="1"/>
    </xf>
    <xf numFmtId="0" fontId="1" fillId="0" borderId="4" xfId="0" applyFont="1" applyFill="1" applyBorder="1" applyAlignment="1">
      <alignment vertical="top"/>
    </xf>
    <xf numFmtId="14" fontId="1" fillId="0" borderId="4" xfId="0" applyNumberFormat="1" applyFont="1" applyFill="1" applyBorder="1" applyAlignment="1">
      <alignment vertical="top"/>
    </xf>
    <xf numFmtId="0" fontId="4" fillId="0" borderId="8" xfId="0" applyFont="1" applyFill="1" applyBorder="1" applyAlignment="1">
      <alignment vertical="top" wrapText="1"/>
    </xf>
    <xf numFmtId="0" fontId="4" fillId="0" borderId="8" xfId="0" applyFont="1" applyFill="1" applyBorder="1" applyAlignment="1">
      <alignment vertical="top"/>
    </xf>
    <xf numFmtId="14" fontId="1" fillId="0" borderId="3" xfId="0" applyNumberFormat="1" applyFont="1" applyFill="1" applyBorder="1" applyAlignment="1">
      <alignment wrapText="1"/>
    </xf>
    <xf numFmtId="0" fontId="1" fillId="0" borderId="4" xfId="0" applyFont="1" applyFill="1" applyBorder="1" applyAlignment="1">
      <alignment wrapText="1"/>
    </xf>
    <xf numFmtId="0" fontId="1" fillId="0" borderId="4" xfId="0" applyFont="1" applyFill="1" applyBorder="1" applyAlignment="1"/>
    <xf numFmtId="14" fontId="1" fillId="0" borderId="4" xfId="0" applyNumberFormat="1" applyFont="1" applyFill="1" applyBorder="1" applyAlignment="1"/>
    <xf numFmtId="0" fontId="4" fillId="0" borderId="3" xfId="0" applyFont="1" applyFill="1" applyBorder="1" applyAlignment="1">
      <alignment horizontal="fill" vertical="top"/>
    </xf>
    <xf numFmtId="49" fontId="1" fillId="0" borderId="3" xfId="0" applyNumberFormat="1" applyFont="1" applyFill="1" applyBorder="1" applyAlignment="1">
      <alignment wrapText="1"/>
    </xf>
    <xf numFmtId="14" fontId="1" fillId="0" borderId="3" xfId="0" applyNumberFormat="1" applyFont="1" applyFill="1" applyBorder="1"/>
    <xf numFmtId="0" fontId="4" fillId="0" borderId="8" xfId="0" applyFont="1" applyFill="1" applyBorder="1" applyAlignment="1">
      <alignment wrapText="1"/>
    </xf>
    <xf numFmtId="0" fontId="4" fillId="0" borderId="8" xfId="0" applyFont="1" applyFill="1" applyBorder="1" applyAlignment="1">
      <alignment horizontal="fill" vertical="top"/>
    </xf>
    <xf numFmtId="0" fontId="3" fillId="0" borderId="8" xfId="0" applyFont="1" applyFill="1" applyBorder="1" applyAlignment="1"/>
    <xf numFmtId="0" fontId="3" fillId="0" borderId="8" xfId="0" applyFont="1" applyFill="1" applyBorder="1"/>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5" xfId="0" applyFont="1" applyFill="1" applyBorder="1" applyAlignment="1"/>
    <xf numFmtId="0" fontId="1" fillId="0" borderId="5" xfId="0" applyFont="1" applyFill="1" applyBorder="1" applyAlignment="1">
      <alignment wrapText="1"/>
    </xf>
    <xf numFmtId="0" fontId="3" fillId="0" borderId="8" xfId="0" applyFont="1" applyFill="1" applyBorder="1" applyAlignment="1">
      <alignment wrapText="1"/>
    </xf>
    <xf numFmtId="0" fontId="3" fillId="0" borderId="8" xfId="0" applyFont="1" applyFill="1" applyBorder="1" applyAlignment="1">
      <alignment horizontal="center" vertical="top" wrapText="1"/>
    </xf>
    <xf numFmtId="0" fontId="1" fillId="0" borderId="15" xfId="0" applyFont="1" applyFill="1" applyBorder="1" applyAlignment="1">
      <alignment horizontal="center" wrapText="1"/>
    </xf>
    <xf numFmtId="14" fontId="1" fillId="0" borderId="3" xfId="0" applyNumberFormat="1" applyFont="1" applyFill="1" applyBorder="1" applyAlignment="1">
      <alignment horizontal="left" vertical="top" wrapText="1"/>
    </xf>
    <xf numFmtId="0" fontId="1" fillId="0" borderId="10" xfId="0" applyFont="1" applyFill="1" applyBorder="1" applyAlignment="1">
      <alignment horizontal="justify" wrapText="1"/>
    </xf>
    <xf numFmtId="0" fontId="1" fillId="0" borderId="18" xfId="0" applyFont="1" applyFill="1" applyBorder="1" applyAlignment="1">
      <alignment horizontal="center" vertical="center"/>
    </xf>
    <xf numFmtId="0" fontId="1" fillId="0" borderId="0" xfId="0" applyFont="1" applyFill="1" applyAlignment="1">
      <alignment wrapText="1"/>
    </xf>
    <xf numFmtId="0" fontId="1" fillId="0" borderId="2" xfId="0" applyFont="1" applyFill="1" applyBorder="1" applyAlignment="1">
      <alignment wrapText="1"/>
    </xf>
    <xf numFmtId="0" fontId="1" fillId="0" borderId="4" xfId="0" applyFont="1" applyFill="1" applyBorder="1" applyAlignment="1">
      <alignment horizontal="justify" vertical="top" wrapText="1"/>
    </xf>
    <xf numFmtId="0" fontId="5" fillId="0" borderId="8" xfId="0" applyFont="1" applyFill="1" applyBorder="1" applyAlignment="1">
      <alignment horizontal="center" vertical="top" wrapText="1"/>
    </xf>
    <xf numFmtId="0" fontId="1" fillId="0" borderId="2" xfId="0" applyFont="1" applyFill="1" applyBorder="1" applyAlignment="1"/>
    <xf numFmtId="0" fontId="3" fillId="0" borderId="3" xfId="0" applyFont="1" applyFill="1" applyBorder="1" applyAlignment="1">
      <alignment horizontal="justify" vertical="top" wrapText="1"/>
    </xf>
    <xf numFmtId="0" fontId="3" fillId="0" borderId="2" xfId="0" applyFont="1" applyFill="1" applyBorder="1" applyAlignment="1"/>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8" xfId="0" applyFont="1" applyFill="1" applyBorder="1" applyAlignment="1">
      <alignment horizontal="center" vertical="top" wrapText="1"/>
    </xf>
    <xf numFmtId="0" fontId="1" fillId="0" borderId="6" xfId="0" applyFont="1" applyFill="1" applyBorder="1" applyAlignment="1">
      <alignment horizontal="center" wrapText="1"/>
    </xf>
    <xf numFmtId="0" fontId="1" fillId="0" borderId="3" xfId="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5"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 fillId="0" borderId="8"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8" xfId="0" applyFont="1" applyFill="1" applyBorder="1" applyAlignment="1">
      <alignment horizontal="center" vertical="top" wrapText="1"/>
    </xf>
    <xf numFmtId="0" fontId="3" fillId="0" borderId="12" xfId="0" applyFont="1" applyFill="1" applyBorder="1" applyAlignment="1">
      <alignment horizontal="center" wrapText="1"/>
    </xf>
    <xf numFmtId="0" fontId="1" fillId="0" borderId="3" xfId="0" applyNumberFormat="1" applyFont="1" applyFill="1" applyBorder="1" applyAlignment="1" applyProtection="1">
      <alignment horizontal="center" vertical="top" wrapText="1"/>
    </xf>
    <xf numFmtId="2" fontId="1" fillId="0" borderId="3" xfId="2" applyNumberFormat="1" applyFont="1" applyFill="1" applyBorder="1" applyAlignment="1">
      <alignment horizontal="center" vertical="top" wrapText="1"/>
    </xf>
    <xf numFmtId="0" fontId="1" fillId="0" borderId="0" xfId="0" applyFont="1" applyFill="1" applyAlignment="1">
      <alignment horizontal="center" wrapText="1"/>
    </xf>
    <xf numFmtId="0" fontId="5" fillId="0" borderId="3" xfId="0" applyFont="1" applyFill="1" applyBorder="1" applyAlignment="1"/>
    <xf numFmtId="0" fontId="9" fillId="0" borderId="3" xfId="0" applyFont="1" applyFill="1" applyBorder="1" applyAlignment="1">
      <alignment wrapText="1"/>
    </xf>
    <xf numFmtId="14" fontId="1" fillId="0" borderId="3"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8" xfId="0" applyNumberFormat="1" applyFont="1" applyFill="1" applyBorder="1" applyAlignment="1">
      <alignment horizontal="center" vertical="top" wrapText="1"/>
    </xf>
    <xf numFmtId="0" fontId="5" fillId="0" borderId="3" xfId="0" applyFont="1" applyFill="1" applyBorder="1" applyAlignment="1">
      <alignment horizontal="center" wrapText="1"/>
    </xf>
    <xf numFmtId="0" fontId="8" fillId="0" borderId="3" xfId="0" applyFont="1" applyFill="1" applyBorder="1" applyAlignment="1">
      <alignment wrapText="1"/>
    </xf>
    <xf numFmtId="0" fontId="1" fillId="0" borderId="0" xfId="0" applyNumberFormat="1" applyFont="1" applyFill="1" applyBorder="1" applyAlignment="1">
      <alignment horizontal="center" vertical="top" wrapText="1"/>
    </xf>
    <xf numFmtId="0" fontId="1" fillId="0" borderId="0" xfId="0" applyFont="1" applyFill="1" applyAlignment="1">
      <alignment vertical="center" wrapText="1"/>
    </xf>
    <xf numFmtId="0" fontId="5" fillId="0" borderId="3" xfId="0" applyFont="1" applyFill="1" applyBorder="1" applyAlignment="1">
      <alignment wrapText="1"/>
    </xf>
    <xf numFmtId="0" fontId="5" fillId="0" borderId="0" xfId="0" applyFont="1" applyFill="1" applyBorder="1" applyAlignment="1">
      <alignment wrapText="1"/>
    </xf>
    <xf numFmtId="0" fontId="9" fillId="0" borderId="3" xfId="0" applyFont="1" applyFill="1" applyBorder="1" applyAlignment="1">
      <alignment horizontal="center" wrapText="1"/>
    </xf>
    <xf numFmtId="0" fontId="25" fillId="0" borderId="3" xfId="0" applyFont="1" applyFill="1" applyBorder="1" applyAlignment="1">
      <alignment horizontal="left" vertical="top" wrapText="1"/>
    </xf>
    <xf numFmtId="0" fontId="4" fillId="0" borderId="0" xfId="0" applyFont="1" applyFill="1"/>
    <xf numFmtId="0" fontId="1" fillId="0" borderId="3" xfId="0" applyNumberFormat="1" applyFont="1" applyFill="1" applyBorder="1" applyAlignment="1">
      <alignment horizontal="center" vertical="center" wrapText="1"/>
    </xf>
    <xf numFmtId="0" fontId="1" fillId="0" borderId="0" xfId="0" applyFont="1" applyFill="1" applyAlignment="1">
      <alignment vertical="top" wrapText="1"/>
    </xf>
    <xf numFmtId="0" fontId="1" fillId="0" borderId="0" xfId="0" applyFont="1" applyFill="1" applyBorder="1"/>
    <xf numFmtId="0" fontId="5" fillId="0" borderId="3" xfId="0" applyFont="1" applyFill="1" applyBorder="1" applyAlignment="1">
      <alignment vertical="top" wrapText="1"/>
    </xf>
    <xf numFmtId="0" fontId="26" fillId="0" borderId="3" xfId="0" applyFont="1" applyFill="1" applyBorder="1" applyAlignment="1">
      <alignment vertical="top" wrapText="1"/>
    </xf>
    <xf numFmtId="0" fontId="1" fillId="0" borderId="2" xfId="0" applyFont="1" applyFill="1" applyBorder="1" applyAlignment="1">
      <alignment horizontal="center" vertical="top" wrapText="1"/>
    </xf>
    <xf numFmtId="14" fontId="1" fillId="0" borderId="4" xfId="0" applyNumberFormat="1" applyFont="1" applyFill="1" applyBorder="1" applyAlignment="1">
      <alignment horizontal="center" vertical="top" wrapText="1"/>
    </xf>
    <xf numFmtId="0" fontId="27" fillId="0" borderId="0" xfId="0" applyFont="1" applyFill="1" applyAlignment="1">
      <alignment horizontal="center" wrapText="1"/>
    </xf>
    <xf numFmtId="49" fontId="1" fillId="0" borderId="3" xfId="0" applyNumberFormat="1" applyFont="1" applyFill="1" applyBorder="1" applyAlignment="1">
      <alignment horizontal="center" vertical="top" wrapText="1"/>
    </xf>
    <xf numFmtId="0" fontId="3" fillId="0" borderId="3" xfId="0" applyFont="1" applyFill="1" applyBorder="1" applyAlignment="1">
      <alignment wrapText="1"/>
    </xf>
    <xf numFmtId="0" fontId="1" fillId="0" borderId="3" xfId="0" applyNumberFormat="1" applyFont="1" applyFill="1" applyBorder="1" applyAlignment="1">
      <alignment horizontal="left" vertical="top" wrapText="1"/>
    </xf>
    <xf numFmtId="0" fontId="25" fillId="0" borderId="0" xfId="0" applyFont="1" applyFill="1" applyAlignment="1">
      <alignment horizontal="left" vertical="top" wrapText="1"/>
    </xf>
    <xf numFmtId="164" fontId="1" fillId="0" borderId="3" xfId="0" applyNumberFormat="1" applyFont="1" applyFill="1" applyBorder="1" applyAlignment="1">
      <alignment horizontal="center" vertical="center" wrapText="1"/>
    </xf>
    <xf numFmtId="49" fontId="1" fillId="0" borderId="8" xfId="0" applyNumberFormat="1" applyFont="1" applyFill="1" applyBorder="1" applyAlignment="1">
      <alignment wrapText="1"/>
    </xf>
    <xf numFmtId="0" fontId="5" fillId="0" borderId="8" xfId="0" applyNumberFormat="1" applyFont="1" applyFill="1" applyBorder="1" applyAlignment="1">
      <alignment horizontal="center" vertical="top"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49" fontId="11" fillId="0" borderId="3" xfId="0" applyNumberFormat="1" applyFont="1" applyFill="1" applyBorder="1" applyAlignment="1">
      <alignment wrapText="1"/>
    </xf>
    <xf numFmtId="14" fontId="11" fillId="0" borderId="3" xfId="0" applyNumberFormat="1" applyFont="1" applyFill="1" applyBorder="1" applyAlignment="1">
      <alignment horizontal="center" vertical="center" wrapText="1"/>
    </xf>
    <xf numFmtId="0" fontId="4" fillId="0" borderId="3" xfId="0" applyFont="1" applyFill="1" applyBorder="1"/>
    <xf numFmtId="14" fontId="1" fillId="0" borderId="4" xfId="0" applyNumberFormat="1" applyFont="1" applyFill="1" applyBorder="1" applyAlignment="1">
      <alignment horizontal="left" vertical="top" wrapText="1"/>
    </xf>
    <xf numFmtId="0" fontId="1" fillId="0" borderId="5" xfId="0" applyFont="1" applyFill="1" applyBorder="1" applyAlignment="1">
      <alignment horizontal="left" vertical="top" wrapText="1"/>
    </xf>
    <xf numFmtId="14" fontId="1" fillId="0" borderId="5" xfId="0" applyNumberFormat="1" applyFont="1" applyFill="1" applyBorder="1" applyAlignment="1">
      <alignment horizontal="left" vertical="top" wrapText="1"/>
    </xf>
    <xf numFmtId="0" fontId="5" fillId="0" borderId="5" xfId="0" applyFont="1" applyFill="1" applyBorder="1" applyAlignment="1">
      <alignment horizontal="center" vertical="top" wrapText="1"/>
    </xf>
    <xf numFmtId="0" fontId="5" fillId="0" borderId="5" xfId="0" applyFont="1" applyFill="1" applyBorder="1"/>
    <xf numFmtId="0" fontId="3" fillId="0" borderId="3" xfId="0" applyFont="1" applyFill="1" applyBorder="1" applyAlignment="1">
      <alignment horizontal="center" vertical="top" wrapText="1"/>
    </xf>
    <xf numFmtId="0" fontId="1" fillId="0" borderId="4" xfId="0" applyFont="1" applyFill="1" applyBorder="1" applyAlignment="1">
      <alignment horizontal="center"/>
    </xf>
    <xf numFmtId="14" fontId="11" fillId="0" borderId="4" xfId="0" applyNumberFormat="1" applyFont="1" applyFill="1" applyBorder="1" applyAlignment="1">
      <alignment horizontal="center"/>
    </xf>
    <xf numFmtId="0" fontId="1" fillId="0" borderId="5" xfId="0" applyFont="1" applyFill="1" applyBorder="1" applyAlignment="1">
      <alignment horizontal="center"/>
    </xf>
    <xf numFmtId="14" fontId="11" fillId="0" borderId="5" xfId="0" applyNumberFormat="1" applyFont="1" applyFill="1" applyBorder="1" applyAlignment="1">
      <alignment horizontal="center"/>
    </xf>
    <xf numFmtId="0" fontId="4" fillId="0" borderId="5" xfId="0" applyFont="1" applyFill="1" applyBorder="1" applyAlignment="1">
      <alignment horizontal="center" vertical="top" wrapText="1"/>
    </xf>
    <xf numFmtId="0" fontId="1" fillId="0" borderId="10" xfId="0" applyNumberFormat="1" applyFont="1" applyFill="1" applyBorder="1" applyAlignment="1">
      <alignment horizontal="justify" vertical="top" wrapText="1"/>
    </xf>
    <xf numFmtId="0" fontId="4" fillId="0" borderId="5" xfId="0" applyFont="1" applyFill="1" applyBorder="1" applyAlignment="1"/>
    <xf numFmtId="0" fontId="2" fillId="0" borderId="4" xfId="0" applyFont="1" applyFill="1" applyBorder="1" applyAlignment="1">
      <alignment horizontal="center" vertical="top"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8" xfId="0" applyFont="1" applyFill="1" applyBorder="1" applyAlignment="1">
      <alignment vertical="top" wrapText="1"/>
    </xf>
    <xf numFmtId="0" fontId="2" fillId="0" borderId="4" xfId="0" applyFont="1" applyFill="1" applyBorder="1" applyAlignment="1">
      <alignment vertical="top" wrapText="1"/>
    </xf>
    <xf numFmtId="0" fontId="1" fillId="0" borderId="17" xfId="0" applyFont="1" applyFill="1" applyBorder="1" applyAlignment="1">
      <alignment wrapText="1"/>
    </xf>
    <xf numFmtId="0" fontId="1" fillId="0" borderId="13" xfId="0" applyFont="1" applyFill="1" applyBorder="1" applyAlignment="1">
      <alignment horizontal="justify" vertical="top"/>
    </xf>
    <xf numFmtId="0" fontId="1" fillId="0" borderId="5" xfId="0" applyFont="1" applyFill="1" applyBorder="1" applyAlignment="1">
      <alignment wrapText="1"/>
    </xf>
    <xf numFmtId="0" fontId="1" fillId="0" borderId="4" xfId="0" applyFont="1" applyFill="1" applyBorder="1" applyAlignment="1">
      <alignment vertical="center"/>
    </xf>
    <xf numFmtId="14" fontId="1" fillId="0" borderId="4" xfId="0" applyNumberFormat="1" applyFont="1" applyFill="1" applyBorder="1" applyAlignment="1">
      <alignment vertical="center"/>
    </xf>
    <xf numFmtId="0" fontId="1" fillId="0" borderId="13" xfId="0" applyFont="1" applyFill="1" applyBorder="1" applyAlignment="1">
      <alignment horizontal="justify" vertical="top"/>
    </xf>
    <xf numFmtId="0" fontId="1" fillId="0" borderId="4" xfId="0" applyFont="1" applyFill="1" applyBorder="1" applyAlignment="1">
      <alignment horizontal="justify" vertical="top"/>
    </xf>
    <xf numFmtId="14" fontId="1" fillId="0" borderId="4" xfId="0" applyNumberFormat="1" applyFont="1" applyFill="1" applyBorder="1" applyAlignment="1">
      <alignment horizontal="justify" vertical="top"/>
    </xf>
    <xf numFmtId="0" fontId="1" fillId="0" borderId="8" xfId="0" applyFont="1" applyFill="1" applyBorder="1" applyAlignment="1">
      <alignment vertical="center"/>
    </xf>
    <xf numFmtId="14" fontId="1" fillId="0" borderId="8" xfId="0" applyNumberFormat="1" applyFont="1" applyFill="1" applyBorder="1" applyAlignment="1">
      <alignment vertical="center"/>
    </xf>
    <xf numFmtId="0" fontId="4" fillId="0" borderId="14" xfId="0" applyFont="1" applyFill="1" applyBorder="1" applyAlignment="1"/>
    <xf numFmtId="0" fontId="4" fillId="0" borderId="5" xfId="0" applyFont="1" applyFill="1" applyBorder="1" applyAlignment="1">
      <alignment horizontal="justify" vertical="top"/>
    </xf>
    <xf numFmtId="0" fontId="4" fillId="0" borderId="15" xfId="0" applyFont="1" applyFill="1" applyBorder="1" applyAlignment="1"/>
    <xf numFmtId="0" fontId="4" fillId="0" borderId="8" xfId="0" applyFont="1" applyFill="1" applyBorder="1" applyAlignment="1">
      <alignment horizontal="justify" vertical="top"/>
    </xf>
    <xf numFmtId="0" fontId="1" fillId="0" borderId="8" xfId="0" applyFont="1" applyFill="1" applyBorder="1" applyAlignment="1">
      <alignment wrapText="1"/>
    </xf>
    <xf numFmtId="14" fontId="1" fillId="0" borderId="3" xfId="0" applyNumberFormat="1" applyFont="1" applyFill="1" applyBorder="1" applyAlignment="1">
      <alignment vertical="top" wrapText="1"/>
    </xf>
    <xf numFmtId="0" fontId="11" fillId="0" borderId="3" xfId="0" applyFont="1" applyFill="1" applyBorder="1" applyAlignment="1">
      <alignment wrapText="1"/>
    </xf>
    <xf numFmtId="0" fontId="3" fillId="0" borderId="0" xfId="0" applyFont="1" applyFill="1" applyBorder="1" applyAlignment="1">
      <alignment horizontal="justify" vertical="top" wrapText="1"/>
    </xf>
    <xf numFmtId="0" fontId="3" fillId="0" borderId="0" xfId="0" applyFont="1" applyFill="1" applyBorder="1" applyAlignment="1">
      <alignment horizontal="center" wrapText="1"/>
    </xf>
    <xf numFmtId="0" fontId="1" fillId="0" borderId="0" xfId="0" applyFont="1" applyFill="1" applyBorder="1" applyAlignment="1">
      <alignment horizontal="justify" vertical="top" wrapText="1"/>
    </xf>
    <xf numFmtId="0" fontId="3" fillId="0" borderId="2" xfId="0" applyFont="1" applyFill="1" applyBorder="1" applyAlignment="1">
      <alignment horizontal="justify" vertical="top" wrapText="1"/>
    </xf>
    <xf numFmtId="0" fontId="3" fillId="0" borderId="8" xfId="0" applyFont="1" applyFill="1" applyBorder="1" applyAlignment="1">
      <alignment horizontal="center" vertical="center"/>
    </xf>
    <xf numFmtId="0" fontId="1" fillId="0" borderId="4" xfId="0" applyFont="1" applyFill="1" applyBorder="1" applyAlignment="1">
      <alignment horizontal="left" vertical="top"/>
    </xf>
    <xf numFmtId="0" fontId="4" fillId="0" borderId="5" xfId="0" applyFont="1" applyFill="1" applyBorder="1" applyAlignment="1">
      <alignment vertical="top" wrapText="1"/>
    </xf>
    <xf numFmtId="0" fontId="5" fillId="0" borderId="4" xfId="0" applyFont="1" applyFill="1" applyBorder="1" applyAlignment="1">
      <alignment horizontal="center" vertical="center"/>
    </xf>
    <xf numFmtId="14" fontId="5" fillId="0" borderId="4" xfId="0" applyNumberFormat="1" applyFont="1" applyFill="1" applyBorder="1" applyAlignment="1">
      <alignment horizontal="center" vertical="center"/>
    </xf>
    <xf numFmtId="0" fontId="5" fillId="0" borderId="5" xfId="0" applyFont="1" applyFill="1" applyBorder="1" applyAlignment="1">
      <alignment horizontal="center" vertical="center"/>
    </xf>
    <xf numFmtId="14" fontId="5" fillId="0" borderId="5" xfId="0" applyNumberFormat="1" applyFont="1" applyFill="1" applyBorder="1" applyAlignment="1">
      <alignment horizontal="center" vertical="center"/>
    </xf>
    <xf numFmtId="0" fontId="4" fillId="0" borderId="8" xfId="0" applyFont="1" applyFill="1" applyBorder="1" applyAlignment="1">
      <alignment vertical="top" wrapText="1"/>
    </xf>
    <xf numFmtId="0" fontId="1" fillId="0" borderId="4" xfId="0" applyFont="1" applyFill="1" applyBorder="1" applyAlignment="1">
      <alignment vertical="top" wrapText="1"/>
    </xf>
    <xf numFmtId="0" fontId="1" fillId="0" borderId="0" xfId="0" applyFont="1" applyFill="1" applyBorder="1" applyAlignment="1">
      <alignment vertical="center"/>
    </xf>
    <xf numFmtId="0" fontId="1" fillId="0" borderId="16" xfId="0" applyFont="1" applyFill="1" applyBorder="1" applyAlignment="1">
      <alignment vertical="center" wrapText="1"/>
    </xf>
    <xf numFmtId="0" fontId="5" fillId="0" borderId="4" xfId="0" applyFont="1" applyFill="1" applyBorder="1" applyAlignment="1">
      <alignment vertical="top" wrapText="1"/>
    </xf>
    <xf numFmtId="0" fontId="4" fillId="0" borderId="19" xfId="0" applyFont="1" applyFill="1" applyBorder="1" applyAlignment="1">
      <alignment wrapText="1"/>
    </xf>
    <xf numFmtId="0" fontId="4" fillId="0" borderId="0" xfId="0" applyFont="1" applyFill="1" applyAlignment="1">
      <alignment vertical="center"/>
    </xf>
    <xf numFmtId="0" fontId="4" fillId="0" borderId="16" xfId="0" applyFont="1" applyFill="1" applyBorder="1" applyAlignment="1">
      <alignment vertical="center"/>
    </xf>
    <xf numFmtId="0" fontId="5" fillId="0" borderId="8" xfId="0" applyFont="1" applyFill="1" applyBorder="1" applyAlignment="1">
      <alignment horizontal="center" vertical="center"/>
    </xf>
    <xf numFmtId="14" fontId="5" fillId="0" borderId="8" xfId="0" applyNumberFormat="1" applyFont="1" applyFill="1" applyBorder="1" applyAlignment="1">
      <alignment horizontal="center" vertical="center"/>
    </xf>
    <xf numFmtId="0" fontId="4" fillId="0" borderId="5" xfId="0" applyFont="1" applyFill="1" applyBorder="1" applyAlignment="1">
      <alignment wrapText="1"/>
    </xf>
    <xf numFmtId="0" fontId="5" fillId="0" borderId="3" xfId="0" applyFont="1" applyFill="1" applyBorder="1" applyAlignment="1">
      <alignment horizontal="center" vertical="center"/>
    </xf>
    <xf numFmtId="14" fontId="5"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4" fillId="0" borderId="5" xfId="0" applyFont="1" applyFill="1" applyBorder="1" applyAlignment="1">
      <alignment wrapText="1"/>
    </xf>
    <xf numFmtId="0" fontId="1" fillId="0" borderId="17" xfId="0" applyFont="1" applyFill="1" applyBorder="1" applyAlignment="1">
      <alignment horizontal="justify" vertical="top" wrapText="1"/>
    </xf>
    <xf numFmtId="0" fontId="1" fillId="0" borderId="2" xfId="0" applyFont="1" applyFill="1" applyBorder="1" applyAlignment="1">
      <alignment horizontal="justify" wrapText="1"/>
    </xf>
    <xf numFmtId="0" fontId="1" fillId="0" borderId="6" xfId="0" applyFont="1" applyFill="1" applyBorder="1" applyAlignment="1">
      <alignment horizontal="center" vertical="center"/>
    </xf>
    <xf numFmtId="0" fontId="4" fillId="0" borderId="8" xfId="0" applyFont="1" applyFill="1" applyBorder="1" applyAlignment="1"/>
    <xf numFmtId="0" fontId="1" fillId="0" borderId="4"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xf>
    <xf numFmtId="0" fontId="1" fillId="0" borderId="8" xfId="0" applyNumberFormat="1" applyFont="1" applyFill="1" applyBorder="1" applyAlignment="1">
      <alignment horizontal="center" vertical="center" wrapText="1"/>
    </xf>
    <xf numFmtId="0" fontId="1" fillId="0" borderId="0" xfId="0" applyFont="1" applyFill="1" applyBorder="1" applyAlignment="1">
      <alignment horizontal="justify" wrapText="1"/>
    </xf>
    <xf numFmtId="14" fontId="5" fillId="0" borderId="3" xfId="0" applyNumberFormat="1" applyFont="1" applyFill="1" applyBorder="1" applyAlignment="1">
      <alignment wrapText="1"/>
    </xf>
    <xf numFmtId="0" fontId="4" fillId="0" borderId="3" xfId="0" applyFont="1" applyFill="1" applyBorder="1" applyAlignment="1">
      <alignment wrapText="1"/>
    </xf>
    <xf numFmtId="0" fontId="1" fillId="0" borderId="3" xfId="0" applyFont="1" applyFill="1" applyBorder="1" applyAlignment="1">
      <alignment horizontal="justify" wrapText="1"/>
    </xf>
    <xf numFmtId="0" fontId="12" fillId="0" borderId="3" xfId="0" applyFont="1" applyFill="1" applyBorder="1" applyAlignment="1">
      <alignment horizontal="left" vertical="top" wrapText="1"/>
    </xf>
    <xf numFmtId="0" fontId="1" fillId="0" borderId="5" xfId="0" applyFont="1" applyFill="1" applyBorder="1" applyAlignment="1">
      <alignment vertical="center" wrapText="1"/>
    </xf>
    <xf numFmtId="0" fontId="2" fillId="0" borderId="5" xfId="0" applyFont="1" applyFill="1" applyBorder="1"/>
    <xf numFmtId="0" fontId="2" fillId="0" borderId="8" xfId="0" applyFont="1" applyFill="1" applyBorder="1"/>
    <xf numFmtId="0" fontId="1" fillId="0" borderId="8" xfId="0" applyFont="1" applyFill="1" applyBorder="1" applyAlignment="1">
      <alignment vertical="center" wrapText="1"/>
    </xf>
    <xf numFmtId="0" fontId="3" fillId="0" borderId="8" xfId="0" applyFont="1" applyFill="1" applyBorder="1" applyAlignment="1">
      <alignment horizontal="justify" vertical="top" wrapText="1"/>
    </xf>
    <xf numFmtId="0" fontId="3" fillId="0" borderId="1" xfId="0" applyFont="1" applyFill="1" applyBorder="1" applyAlignment="1">
      <alignment horizontal="center" vertical="center"/>
    </xf>
    <xf numFmtId="0" fontId="3" fillId="0" borderId="8" xfId="0" applyFont="1" applyFill="1" applyBorder="1" applyAlignment="1">
      <alignment horizontal="distributed" vertical="center"/>
    </xf>
    <xf numFmtId="0" fontId="3" fillId="0" borderId="8" xfId="0" applyFont="1" applyFill="1" applyBorder="1" applyAlignment="1">
      <alignment vertical="center" wrapText="1"/>
    </xf>
    <xf numFmtId="0" fontId="1" fillId="0" borderId="7" xfId="0" applyFont="1" applyFill="1" applyBorder="1" applyAlignment="1">
      <alignment horizontal="center" vertical="center"/>
    </xf>
    <xf numFmtId="0" fontId="1" fillId="0" borderId="4" xfId="0" applyFont="1" applyFill="1" applyBorder="1" applyAlignment="1">
      <alignment horizontal="distributed" vertical="center"/>
    </xf>
    <xf numFmtId="0" fontId="1" fillId="0" borderId="12" xfId="0" applyFont="1" applyFill="1" applyBorder="1" applyAlignment="1">
      <alignment horizontal="justify" wrapText="1"/>
    </xf>
    <xf numFmtId="0" fontId="1" fillId="0" borderId="5" xfId="0" applyFont="1" applyFill="1" applyBorder="1" applyAlignment="1">
      <alignment horizontal="distributed" vertical="center"/>
    </xf>
    <xf numFmtId="0" fontId="4" fillId="0" borderId="5" xfId="0" applyFont="1" applyFill="1" applyBorder="1" applyAlignment="1">
      <alignment horizontal="distributed"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1" fillId="0" borderId="5" xfId="0" applyFont="1" applyFill="1" applyBorder="1" applyAlignment="1">
      <alignment horizontal="distributed" vertical="center"/>
    </xf>
    <xf numFmtId="0" fontId="1" fillId="0" borderId="3" xfId="0" applyFont="1" applyFill="1" applyBorder="1" applyAlignment="1">
      <alignment horizontal="distributed" vertical="center"/>
    </xf>
    <xf numFmtId="0" fontId="1" fillId="0" borderId="8" xfId="0" applyFont="1" applyFill="1" applyBorder="1" applyAlignment="1">
      <alignment horizontal="distributed" vertical="center"/>
    </xf>
    <xf numFmtId="0" fontId="13" fillId="0" borderId="3" xfId="0" applyFont="1" applyFill="1" applyBorder="1"/>
    <xf numFmtId="14" fontId="14" fillId="0" borderId="3"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 fillId="0" borderId="4" xfId="0" applyFont="1" applyFill="1" applyBorder="1" applyAlignment="1">
      <alignment vertical="center" wrapText="1"/>
    </xf>
    <xf numFmtId="0" fontId="1" fillId="0" borderId="5" xfId="0" applyFont="1" applyFill="1" applyBorder="1" applyAlignment="1">
      <alignment vertical="center"/>
    </xf>
    <xf numFmtId="0" fontId="5" fillId="0" borderId="4" xfId="0" applyFont="1" applyFill="1" applyBorder="1" applyAlignment="1">
      <alignment vertical="center" wrapText="1"/>
    </xf>
    <xf numFmtId="0" fontId="1" fillId="0" borderId="4" xfId="0" applyNumberFormat="1" applyFont="1" applyFill="1" applyBorder="1" applyAlignment="1">
      <alignment vertical="center" wrapText="1"/>
    </xf>
    <xf numFmtId="0" fontId="1" fillId="0" borderId="5" xfId="0" applyFont="1" applyFill="1" applyBorder="1" applyAlignment="1">
      <alignment vertical="center" wrapText="1"/>
    </xf>
    <xf numFmtId="14" fontId="1" fillId="0" borderId="5" xfId="0" applyNumberFormat="1" applyFont="1" applyFill="1" applyBorder="1" applyAlignment="1">
      <alignment vertical="center" wrapText="1"/>
    </xf>
    <xf numFmtId="0" fontId="2" fillId="0" borderId="8" xfId="0" applyFont="1" applyFill="1" applyBorder="1" applyAlignment="1">
      <alignment vertical="center" wrapText="1"/>
    </xf>
    <xf numFmtId="0" fontId="1" fillId="0" borderId="8" xfId="0" applyFont="1" applyFill="1" applyBorder="1" applyAlignment="1">
      <alignment vertical="center"/>
    </xf>
    <xf numFmtId="0" fontId="5" fillId="0" borderId="3" xfId="0" applyFont="1" applyFill="1" applyBorder="1" applyAlignment="1">
      <alignment vertical="center" wrapText="1"/>
    </xf>
    <xf numFmtId="0" fontId="2" fillId="0" borderId="3" xfId="0" applyFont="1" applyFill="1" applyBorder="1" applyAlignment="1">
      <alignment vertical="center"/>
    </xf>
    <xf numFmtId="0" fontId="1" fillId="0" borderId="17" xfId="0" applyFont="1" applyFill="1" applyBorder="1" applyAlignment="1">
      <alignment vertical="center" wrapText="1"/>
    </xf>
    <xf numFmtId="0" fontId="3" fillId="0" borderId="8" xfId="0" applyFont="1" applyFill="1" applyBorder="1" applyAlignment="1">
      <alignment vertical="center"/>
    </xf>
    <xf numFmtId="0" fontId="3" fillId="0" borderId="8"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0"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8" xfId="0" applyFont="1" applyFill="1" applyBorder="1" applyAlignment="1">
      <alignment vertical="center" wrapText="1"/>
    </xf>
    <xf numFmtId="0" fontId="1" fillId="0" borderId="8" xfId="0" applyFont="1" applyFill="1" applyBorder="1" applyAlignment="1">
      <alignment horizontal="justify" vertical="top" wrapText="1"/>
    </xf>
    <xf numFmtId="0" fontId="2" fillId="0" borderId="5" xfId="0" applyFont="1" applyFill="1" applyBorder="1" applyAlignment="1"/>
    <xf numFmtId="14" fontId="15" fillId="0" borderId="5" xfId="0" applyNumberFormat="1" applyFont="1" applyFill="1" applyBorder="1" applyAlignment="1"/>
    <xf numFmtId="0" fontId="1" fillId="0" borderId="5" xfId="0" applyFont="1" applyFill="1" applyBorder="1" applyAlignment="1"/>
    <xf numFmtId="0" fontId="15" fillId="0" borderId="5" xfId="0" applyFont="1" applyFill="1" applyBorder="1" applyAlignment="1"/>
    <xf numFmtId="0" fontId="1" fillId="0" borderId="8" xfId="0" applyFont="1" applyFill="1" applyBorder="1" applyAlignment="1"/>
    <xf numFmtId="0" fontId="2" fillId="0" borderId="8" xfId="0" applyFont="1" applyFill="1" applyBorder="1" applyAlignment="1"/>
    <xf numFmtId="0" fontId="15" fillId="0" borderId="8" xfId="0" applyFont="1" applyFill="1" applyBorder="1" applyAlignment="1"/>
    <xf numFmtId="0" fontId="15" fillId="0" borderId="8" xfId="0" applyFont="1" applyFill="1" applyBorder="1" applyAlignment="1"/>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2" fillId="0" borderId="8" xfId="0" applyFont="1" applyFill="1" applyBorder="1" applyAlignment="1">
      <alignment wrapText="1"/>
    </xf>
    <xf numFmtId="14" fontId="2" fillId="0" borderId="8" xfId="0" applyNumberFormat="1" applyFont="1" applyFill="1" applyBorder="1" applyAlignment="1">
      <alignment wrapText="1"/>
    </xf>
    <xf numFmtId="0" fontId="5" fillId="0" borderId="5" xfId="0" applyFont="1" applyFill="1" applyBorder="1" applyAlignment="1">
      <alignment horizontal="center" wrapText="1"/>
    </xf>
    <xf numFmtId="0" fontId="2" fillId="0" borderId="3" xfId="0" applyFont="1" applyFill="1" applyBorder="1" applyAlignment="1"/>
    <xf numFmtId="0" fontId="1" fillId="0" borderId="12" xfId="3" applyFont="1" applyFill="1" applyBorder="1" applyAlignment="1">
      <alignment horizontal="center" vertical="top" wrapText="1"/>
    </xf>
    <xf numFmtId="0" fontId="1" fillId="0" borderId="3" xfId="0" applyFont="1" applyFill="1" applyBorder="1" applyAlignment="1">
      <alignment vertical="justify" wrapText="1"/>
    </xf>
    <xf numFmtId="0" fontId="1" fillId="0" borderId="0" xfId="3" applyFont="1" applyFill="1" applyBorder="1" applyAlignment="1">
      <alignment horizontal="center" vertical="top" wrapText="1"/>
    </xf>
    <xf numFmtId="0" fontId="3" fillId="0" borderId="3" xfId="0" applyFont="1" applyFill="1" applyBorder="1" applyAlignment="1">
      <alignment vertical="top" wrapText="1"/>
    </xf>
    <xf numFmtId="0" fontId="3" fillId="0" borderId="6" xfId="0" applyFont="1" applyFill="1" applyBorder="1" applyAlignment="1">
      <alignment horizontal="center" vertical="center"/>
    </xf>
    <xf numFmtId="0" fontId="3" fillId="0" borderId="2" xfId="0" applyFont="1" applyFill="1" applyBorder="1"/>
    <xf numFmtId="0" fontId="1" fillId="0" borderId="0" xfId="0" applyFont="1" applyFill="1" applyBorder="1" applyAlignment="1">
      <alignment vertical="top" wrapText="1"/>
    </xf>
    <xf numFmtId="0" fontId="5" fillId="0" borderId="3" xfId="0" applyFont="1" applyFill="1" applyBorder="1" applyAlignment="1">
      <alignment horizontal="center" vertical="center" wrapText="1"/>
    </xf>
    <xf numFmtId="0" fontId="3" fillId="0" borderId="0" xfId="0" applyFont="1" applyFill="1" applyBorder="1" applyAlignment="1">
      <alignment vertical="top" wrapText="1"/>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2" xfId="0" applyFont="1" applyFill="1" applyBorder="1" applyAlignment="1">
      <alignment wrapText="1"/>
    </xf>
    <xf numFmtId="0" fontId="17" fillId="0" borderId="3" xfId="0" applyFont="1" applyFill="1" applyBorder="1" applyAlignment="1">
      <alignment horizontal="center" vertical="center" wrapText="1"/>
    </xf>
    <xf numFmtId="0" fontId="17" fillId="0" borderId="20" xfId="0" applyFont="1" applyFill="1" applyBorder="1" applyAlignment="1">
      <alignment vertical="top" wrapText="1" readingOrder="1"/>
    </xf>
    <xf numFmtId="0" fontId="3" fillId="0" borderId="17" xfId="0" applyFont="1" applyFill="1" applyBorder="1" applyAlignment="1">
      <alignment horizontal="justify" vertical="top" wrapText="1"/>
    </xf>
    <xf numFmtId="0" fontId="3" fillId="0" borderId="2"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 xfId="0" applyFont="1" applyFill="1" applyBorder="1"/>
    <xf numFmtId="0" fontId="3" fillId="0" borderId="2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xf numFmtId="164" fontId="1" fillId="0" borderId="3" xfId="0" applyNumberFormat="1" applyFont="1" applyFill="1" applyBorder="1" applyAlignment="1">
      <alignment horizontal="center" vertical="top" wrapText="1"/>
    </xf>
    <xf numFmtId="0" fontId="1" fillId="0" borderId="2" xfId="0" applyFont="1" applyFill="1" applyBorder="1" applyAlignment="1">
      <alignment horizontal="center" vertical="center"/>
    </xf>
    <xf numFmtId="0" fontId="3" fillId="0" borderId="21" xfId="0" applyFont="1" applyFill="1" applyBorder="1" applyAlignment="1">
      <alignment horizontal="center" vertical="center"/>
    </xf>
    <xf numFmtId="0" fontId="1" fillId="0" borderId="17" xfId="0" applyFont="1" applyFill="1" applyBorder="1" applyAlignment="1">
      <alignment horizontal="justify" wrapText="1"/>
    </xf>
    <xf numFmtId="0" fontId="1" fillId="0" borderId="18" xfId="0" applyFont="1" applyFill="1" applyBorder="1" applyAlignment="1">
      <alignment vertical="top" wrapText="1"/>
    </xf>
    <xf numFmtId="0" fontId="1" fillId="0" borderId="17" xfId="0" applyFont="1" applyFill="1" applyBorder="1" applyAlignment="1">
      <alignment horizontal="center" vertical="center"/>
    </xf>
    <xf numFmtId="0" fontId="1" fillId="0" borderId="16" xfId="0" applyFont="1" applyFill="1" applyBorder="1" applyAlignment="1">
      <alignment horizontal="justify" wrapText="1"/>
    </xf>
    <xf numFmtId="0" fontId="1" fillId="0" borderId="21" xfId="0" applyFont="1" applyFill="1" applyBorder="1" applyAlignment="1">
      <alignment horizontal="center" vertical="center"/>
    </xf>
    <xf numFmtId="0" fontId="1" fillId="0" borderId="2" xfId="0" applyFont="1" applyFill="1" applyBorder="1" applyAlignment="1">
      <alignment vertical="top" wrapText="1"/>
    </xf>
    <xf numFmtId="0" fontId="1" fillId="0" borderId="2" xfId="0" applyFont="1" applyFill="1" applyBorder="1" applyAlignment="1">
      <alignment horizontal="justify" vertical="top" wrapText="1"/>
    </xf>
    <xf numFmtId="0" fontId="1" fillId="0" borderId="9" xfId="0" applyFont="1" applyFill="1" applyBorder="1" applyAlignment="1">
      <alignment vertical="top" wrapText="1"/>
    </xf>
    <xf numFmtId="0" fontId="1" fillId="0" borderId="17" xfId="0" applyFont="1" applyFill="1" applyBorder="1" applyAlignment="1">
      <alignment vertical="top" wrapText="1"/>
    </xf>
    <xf numFmtId="0" fontId="1" fillId="0" borderId="0" xfId="0" applyFont="1" applyFill="1" applyBorder="1" applyAlignment="1">
      <alignment horizontal="center" vertical="center"/>
    </xf>
    <xf numFmtId="0" fontId="1" fillId="0" borderId="3" xfId="2" applyFont="1" applyFill="1" applyBorder="1" applyAlignment="1">
      <alignment horizontal="center" vertical="top" wrapText="1"/>
    </xf>
    <xf numFmtId="0" fontId="1" fillId="0" borderId="19" xfId="0" applyFont="1" applyFill="1" applyBorder="1" applyAlignment="1">
      <alignment horizontal="center" vertical="center"/>
    </xf>
    <xf numFmtId="0" fontId="1" fillId="0" borderId="4" xfId="0" applyFont="1" applyFill="1" applyBorder="1" applyAlignment="1">
      <alignment vertical="top" wrapText="1"/>
    </xf>
    <xf numFmtId="0" fontId="1" fillId="0" borderId="9" xfId="0" applyFont="1" applyFill="1" applyBorder="1" applyAlignment="1">
      <alignment wrapText="1"/>
    </xf>
    <xf numFmtId="0" fontId="1" fillId="0" borderId="2" xfId="0" applyFont="1" applyFill="1" applyBorder="1" applyAlignment="1">
      <alignment vertical="center" wrapText="1"/>
    </xf>
    <xf numFmtId="0" fontId="1" fillId="0" borderId="3" xfId="0" applyFont="1" applyFill="1" applyBorder="1" applyAlignment="1">
      <alignment wrapText="1" shrinkToFit="1"/>
    </xf>
    <xf numFmtId="0" fontId="1" fillId="0" borderId="3" xfId="0" applyFont="1" applyFill="1" applyBorder="1" applyAlignment="1">
      <alignment vertical="top" wrapText="1" shrinkToFit="1"/>
    </xf>
    <xf numFmtId="14" fontId="1" fillId="0" borderId="3" xfId="0" applyNumberFormat="1" applyFont="1" applyFill="1" applyBorder="1" applyAlignment="1">
      <alignment wrapText="1" shrinkToFit="1"/>
    </xf>
    <xf numFmtId="0" fontId="8" fillId="0" borderId="4" xfId="0" applyFont="1" applyFill="1" applyBorder="1"/>
    <xf numFmtId="0" fontId="18" fillId="0" borderId="0" xfId="0" applyFont="1" applyFill="1" applyAlignment="1">
      <alignment vertical="top" wrapText="1"/>
    </xf>
    <xf numFmtId="0" fontId="1" fillId="0" borderId="12" xfId="0" applyFont="1" applyFill="1" applyBorder="1" applyAlignment="1">
      <alignment horizontal="justify" vertical="top" wrapText="1"/>
    </xf>
    <xf numFmtId="0" fontId="3" fillId="0" borderId="21" xfId="0" applyFont="1" applyFill="1" applyBorder="1" applyAlignment="1">
      <alignment horizontal="center" wrapText="1"/>
    </xf>
    <xf numFmtId="0" fontId="1" fillId="0" borderId="18" xfId="0" applyFont="1" applyFill="1" applyBorder="1" applyAlignment="1">
      <alignment horizontal="center" wrapText="1"/>
    </xf>
    <xf numFmtId="0" fontId="3" fillId="0" borderId="18" xfId="0" applyFont="1" applyFill="1" applyBorder="1" applyAlignment="1">
      <alignment horizontal="center" wrapText="1"/>
    </xf>
    <xf numFmtId="0" fontId="3" fillId="0" borderId="17" xfId="0" applyFont="1" applyFill="1" applyBorder="1" applyAlignment="1">
      <alignment horizontal="justify" wrapText="1"/>
    </xf>
    <xf numFmtId="0" fontId="3" fillId="0" borderId="9" xfId="0" applyFont="1" applyFill="1" applyBorder="1" applyAlignment="1">
      <alignment horizontal="justify" wrapText="1"/>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2" fontId="3" fillId="0" borderId="4" xfId="0" applyNumberFormat="1" applyFont="1" applyFill="1" applyBorder="1"/>
    <xf numFmtId="0" fontId="3" fillId="0" borderId="22" xfId="0" applyFont="1" applyFill="1" applyBorder="1" applyAlignment="1">
      <alignment horizontal="justify" wrapText="1"/>
    </xf>
    <xf numFmtId="2" fontId="3" fillId="0" borderId="22" xfId="0" applyNumberFormat="1" applyFont="1" applyFill="1" applyBorder="1"/>
    <xf numFmtId="2" fontId="3" fillId="0" borderId="0" xfId="0" applyNumberFormat="1" applyFont="1" applyFill="1" applyBorder="1"/>
    <xf numFmtId="0" fontId="3" fillId="0" borderId="0" xfId="0" applyFont="1" applyFill="1" applyBorder="1" applyAlignment="1">
      <alignment horizontal="justify" wrapText="1"/>
    </xf>
    <xf numFmtId="2" fontId="24" fillId="0" borderId="0" xfId="0" applyNumberFormat="1" applyFont="1" applyFill="1" applyBorder="1" applyAlignment="1">
      <alignment vertical="top" wrapText="1"/>
    </xf>
    <xf numFmtId="0" fontId="4" fillId="0" borderId="0" xfId="0" applyFont="1" applyFill="1" applyAlignment="1"/>
    <xf numFmtId="0" fontId="0" fillId="0" borderId="0" xfId="0" applyFill="1" applyAlignment="1"/>
    <xf numFmtId="2" fontId="1" fillId="0" borderId="0" xfId="0" applyNumberFormat="1" applyFont="1" applyFill="1" applyBorder="1"/>
    <xf numFmtId="0" fontId="1" fillId="0" borderId="0" xfId="0" applyFont="1" applyFill="1" applyBorder="1" applyAlignment="1"/>
    <xf numFmtId="0" fontId="1" fillId="0" borderId="0" xfId="0" applyFont="1" applyFill="1" applyBorder="1" applyAlignment="1">
      <alignment horizontal="justify" vertical="center" wrapText="1"/>
    </xf>
    <xf numFmtId="0" fontId="1" fillId="0" borderId="0" xfId="0" applyFont="1" applyFill="1" applyAlignment="1">
      <alignment horizontal="justify" wrapText="1"/>
    </xf>
    <xf numFmtId="0" fontId="1" fillId="0" borderId="0" xfId="0" applyFont="1" applyFill="1" applyBorder="1" applyAlignment="1">
      <alignment horizontal="justify"/>
    </xf>
    <xf numFmtId="0" fontId="20" fillId="0" borderId="0" xfId="0" applyFont="1" applyFill="1" applyBorder="1"/>
    <xf numFmtId="2" fontId="1" fillId="0" borderId="0" xfId="0" applyNumberFormat="1" applyFont="1" applyFill="1"/>
    <xf numFmtId="2" fontId="3" fillId="0" borderId="0" xfId="0" applyNumberFormat="1" applyFont="1" applyFill="1"/>
    <xf numFmtId="0" fontId="3" fillId="0" borderId="0" xfId="0" applyFont="1" applyFill="1" applyBorder="1"/>
    <xf numFmtId="0" fontId="0" fillId="0" borderId="0" xfId="0" applyFill="1" applyBorder="1"/>
    <xf numFmtId="0" fontId="4" fillId="0" borderId="0" xfId="0" applyFont="1" applyFill="1" applyBorder="1"/>
    <xf numFmtId="0" fontId="1" fillId="0" borderId="0" xfId="0" applyFont="1" applyFill="1" applyBorder="1" applyAlignment="1">
      <alignment wrapText="1"/>
    </xf>
    <xf numFmtId="0" fontId="21" fillId="0" borderId="0" xfId="0" applyFont="1" applyFill="1" applyBorder="1" applyAlignment="1">
      <alignment wrapText="1"/>
    </xf>
    <xf numFmtId="0" fontId="22" fillId="0" borderId="0" xfId="0" applyFont="1" applyFill="1" applyBorder="1" applyAlignment="1">
      <alignment wrapText="1"/>
    </xf>
  </cellXfs>
  <cellStyles count="4">
    <cellStyle name="Обычный" xfId="0" builtinId="0"/>
    <cellStyle name="Обычный 2" xfId="3"/>
    <cellStyle name="Обычный 3" xfId="2"/>
    <cellStyle name="Обычный_РРО Культура на 201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Q911"/>
  <sheetViews>
    <sheetView tabSelected="1" topLeftCell="C881" workbookViewId="0">
      <selection activeCell="J911" sqref="J911"/>
    </sheetView>
  </sheetViews>
  <sheetFormatPr defaultRowHeight="35.450000000000003" customHeight="1"/>
  <cols>
    <col min="1" max="1" width="9.140625" style="234"/>
    <col min="2" max="2" width="7.28515625" style="234" customWidth="1"/>
    <col min="3" max="3" width="10" style="234" customWidth="1"/>
    <col min="4" max="5" width="9.140625" style="234" customWidth="1"/>
    <col min="6" max="6" width="7.85546875" style="234" customWidth="1"/>
    <col min="7" max="8" width="6.140625" style="234" customWidth="1"/>
    <col min="9" max="11" width="9.140625" style="234" customWidth="1"/>
    <col min="12" max="12" width="4.7109375" style="234" customWidth="1"/>
    <col min="13" max="13" width="9.140625" style="6" customWidth="1"/>
    <col min="14" max="15" width="9.42578125" style="6" hidden="1" customWidth="1"/>
    <col min="16" max="17" width="9.28515625" style="6" hidden="1" customWidth="1"/>
    <col min="18" max="19" width="10.28515625" style="6" hidden="1" customWidth="1"/>
    <col min="20" max="20" width="4.28515625" style="6" hidden="1" customWidth="1"/>
    <col min="21" max="21" width="4.7109375" style="6" hidden="1" customWidth="1"/>
    <col min="22" max="23" width="10" style="6" hidden="1" customWidth="1"/>
    <col min="24" max="24" width="9.42578125" style="6" customWidth="1"/>
    <col min="25" max="25" width="9.28515625" style="6" customWidth="1"/>
    <col min="26" max="26" width="9" style="6" customWidth="1"/>
    <col min="27" max="27" width="4.28515625" style="6" customWidth="1"/>
    <col min="28" max="28" width="9.85546875" style="6" customWidth="1"/>
    <col min="29" max="29" width="9.42578125" style="6" customWidth="1"/>
    <col min="30" max="30" width="8.42578125" style="6" customWidth="1"/>
    <col min="31" max="31" width="8.28515625" style="6" customWidth="1"/>
    <col min="32" max="32" width="4.28515625" style="6" customWidth="1"/>
    <col min="33" max="34" width="9.140625" style="6" customWidth="1"/>
    <col min="35" max="35" width="8.42578125" style="6" customWidth="1"/>
    <col min="36" max="36" width="8.28515625" style="6" customWidth="1"/>
    <col min="37" max="37" width="4" style="6" customWidth="1"/>
    <col min="38" max="38" width="9.7109375" style="6" customWidth="1"/>
    <col min="39" max="39" width="9.140625" style="6" customWidth="1"/>
    <col min="40" max="40" width="8.7109375" style="6" customWidth="1"/>
    <col min="41" max="41" width="8.28515625" style="6" customWidth="1"/>
    <col min="42" max="42" width="4" style="6" customWidth="1"/>
    <col min="43" max="43" width="10.140625" style="6" customWidth="1"/>
    <col min="44" max="16384" width="9.140625" style="10"/>
  </cols>
  <sheetData>
    <row r="1" spans="1:43" ht="35.450000000000003" customHeight="1">
      <c r="A1" s="6" t="s">
        <v>0</v>
      </c>
      <c r="B1" s="7"/>
      <c r="C1" s="8"/>
      <c r="D1" s="9"/>
      <c r="E1" s="9"/>
      <c r="F1" s="9"/>
      <c r="G1" s="9"/>
      <c r="H1" s="9"/>
      <c r="I1" s="6"/>
      <c r="J1" s="6"/>
      <c r="K1" s="6"/>
      <c r="L1" s="6"/>
    </row>
    <row r="2" spans="1:43" ht="35.450000000000003" customHeight="1">
      <c r="A2" s="6" t="s">
        <v>1</v>
      </c>
      <c r="B2" s="11"/>
      <c r="C2" s="12"/>
      <c r="D2" s="6"/>
      <c r="E2" s="6"/>
      <c r="F2" s="6"/>
      <c r="G2" s="6"/>
      <c r="H2" s="6"/>
      <c r="I2" s="6"/>
      <c r="J2" s="6"/>
      <c r="K2" s="6"/>
      <c r="L2" s="6"/>
      <c r="AA2" s="13" t="s">
        <v>1248</v>
      </c>
      <c r="AB2" s="14"/>
      <c r="AC2" s="14"/>
      <c r="AD2" s="14"/>
      <c r="AE2" s="14"/>
      <c r="AF2" s="14"/>
      <c r="AG2" s="14"/>
    </row>
    <row r="3" spans="1:43" ht="35.450000000000003" customHeight="1">
      <c r="A3" s="6"/>
      <c r="B3" s="11"/>
      <c r="C3" s="12"/>
      <c r="D3" s="6"/>
      <c r="E3" s="6"/>
      <c r="F3" s="6"/>
      <c r="G3" s="6"/>
      <c r="H3" s="6"/>
      <c r="I3" s="6"/>
      <c r="J3" s="6"/>
      <c r="K3" s="6"/>
      <c r="L3" s="6"/>
      <c r="N3" s="15"/>
      <c r="O3" s="15"/>
      <c r="P3" s="15"/>
      <c r="Q3" s="16"/>
      <c r="R3" s="16"/>
      <c r="S3" s="16"/>
      <c r="T3" s="16"/>
      <c r="U3" s="16"/>
      <c r="V3" s="16"/>
      <c r="W3" s="17"/>
    </row>
    <row r="4" spans="1:43" ht="35.450000000000003" customHeight="1">
      <c r="A4" s="18" t="s">
        <v>1243</v>
      </c>
      <c r="B4" s="19" t="s">
        <v>2</v>
      </c>
      <c r="C4" s="20" t="s">
        <v>1242</v>
      </c>
      <c r="D4" s="21"/>
      <c r="E4" s="21"/>
      <c r="F4" s="21"/>
      <c r="G4" s="21"/>
      <c r="H4" s="21"/>
      <c r="I4" s="21"/>
      <c r="J4" s="21"/>
      <c r="K4" s="22"/>
      <c r="L4" s="23" t="s">
        <v>1244</v>
      </c>
      <c r="M4" s="23" t="s">
        <v>1246</v>
      </c>
      <c r="N4" s="20" t="s">
        <v>1245</v>
      </c>
      <c r="O4" s="24"/>
      <c r="P4" s="24"/>
      <c r="Q4" s="24"/>
      <c r="R4" s="24"/>
      <c r="S4" s="24"/>
      <c r="T4" s="24"/>
      <c r="U4" s="24"/>
      <c r="V4" s="24"/>
      <c r="W4" s="24"/>
      <c r="X4" s="24"/>
      <c r="Y4" s="24"/>
      <c r="Z4" s="24"/>
      <c r="AA4" s="24"/>
      <c r="AB4" s="24"/>
      <c r="AC4" s="24"/>
      <c r="AD4" s="24"/>
      <c r="AE4" s="24"/>
      <c r="AF4" s="24"/>
      <c r="AG4" s="25"/>
      <c r="AH4" s="20" t="s">
        <v>1245</v>
      </c>
      <c r="AI4" s="24"/>
      <c r="AJ4" s="24"/>
      <c r="AK4" s="24"/>
      <c r="AL4" s="24"/>
      <c r="AM4" s="24"/>
      <c r="AN4" s="24"/>
      <c r="AO4" s="24"/>
      <c r="AP4" s="24"/>
      <c r="AQ4" s="25"/>
    </row>
    <row r="5" spans="1:43" ht="35.450000000000003" customHeight="1">
      <c r="A5" s="26"/>
      <c r="B5" s="27"/>
      <c r="C5" s="28" t="s">
        <v>1240</v>
      </c>
      <c r="D5" s="29"/>
      <c r="E5" s="30"/>
      <c r="F5" s="20" t="s">
        <v>1239</v>
      </c>
      <c r="G5" s="24"/>
      <c r="H5" s="25"/>
      <c r="I5" s="20" t="s">
        <v>1241</v>
      </c>
      <c r="J5" s="21"/>
      <c r="K5" s="22"/>
      <c r="L5" s="31"/>
      <c r="M5" s="31"/>
      <c r="N5" s="32" t="s">
        <v>1213</v>
      </c>
      <c r="O5" s="33"/>
      <c r="P5" s="33"/>
      <c r="Q5" s="33"/>
      <c r="R5" s="33"/>
      <c r="S5" s="33"/>
      <c r="T5" s="33"/>
      <c r="U5" s="33"/>
      <c r="V5" s="33"/>
      <c r="W5" s="34"/>
      <c r="X5" s="35"/>
      <c r="Y5" s="36" t="s">
        <v>1227</v>
      </c>
      <c r="Z5" s="36"/>
      <c r="AA5" s="36"/>
      <c r="AB5" s="37"/>
      <c r="AC5" s="35"/>
      <c r="AD5" s="36" t="s">
        <v>1228</v>
      </c>
      <c r="AE5" s="36"/>
      <c r="AF5" s="36"/>
      <c r="AG5" s="37"/>
      <c r="AH5" s="32" t="s">
        <v>1232</v>
      </c>
      <c r="AI5" s="33"/>
      <c r="AJ5" s="33"/>
      <c r="AK5" s="33"/>
      <c r="AL5" s="33"/>
      <c r="AM5" s="33"/>
      <c r="AN5" s="33"/>
      <c r="AO5" s="33"/>
      <c r="AP5" s="33"/>
      <c r="AQ5" s="34"/>
    </row>
    <row r="6" spans="1:43" ht="35.450000000000003" customHeight="1">
      <c r="A6" s="26"/>
      <c r="B6" s="27"/>
      <c r="C6" s="23" t="s">
        <v>3</v>
      </c>
      <c r="D6" s="23" t="s">
        <v>4</v>
      </c>
      <c r="E6" s="23" t="s">
        <v>5</v>
      </c>
      <c r="F6" s="23" t="s">
        <v>3</v>
      </c>
      <c r="G6" s="23" t="s">
        <v>1237</v>
      </c>
      <c r="H6" s="23" t="s">
        <v>5</v>
      </c>
      <c r="I6" s="23" t="s">
        <v>3</v>
      </c>
      <c r="J6" s="23" t="s">
        <v>1238</v>
      </c>
      <c r="K6" s="23" t="s">
        <v>5</v>
      </c>
      <c r="L6" s="31"/>
      <c r="M6" s="31"/>
      <c r="N6" s="38" t="s">
        <v>1214</v>
      </c>
      <c r="O6" s="39"/>
      <c r="P6" s="38" t="s">
        <v>1215</v>
      </c>
      <c r="Q6" s="39"/>
      <c r="R6" s="38" t="s">
        <v>1216</v>
      </c>
      <c r="S6" s="39"/>
      <c r="T6" s="38" t="s">
        <v>1217</v>
      </c>
      <c r="U6" s="39"/>
      <c r="V6" s="38" t="s">
        <v>1218</v>
      </c>
      <c r="W6" s="39"/>
      <c r="X6" s="40" t="s">
        <v>1214</v>
      </c>
      <c r="Y6" s="40" t="s">
        <v>1215</v>
      </c>
      <c r="Z6" s="40" t="s">
        <v>1216</v>
      </c>
      <c r="AA6" s="40" t="s">
        <v>1217</v>
      </c>
      <c r="AB6" s="40" t="s">
        <v>1218</v>
      </c>
      <c r="AC6" s="40" t="s">
        <v>1214</v>
      </c>
      <c r="AD6" s="40" t="s">
        <v>1215</v>
      </c>
      <c r="AE6" s="40" t="s">
        <v>1216</v>
      </c>
      <c r="AF6" s="40" t="s">
        <v>1217</v>
      </c>
      <c r="AG6" s="40" t="s">
        <v>1218</v>
      </c>
      <c r="AH6" s="41" t="s">
        <v>1233</v>
      </c>
      <c r="AI6" s="42"/>
      <c r="AJ6" s="42"/>
      <c r="AK6" s="42"/>
      <c r="AL6" s="43"/>
      <c r="AM6" s="41" t="s">
        <v>1234</v>
      </c>
      <c r="AN6" s="42"/>
      <c r="AO6" s="42"/>
      <c r="AP6" s="42"/>
      <c r="AQ6" s="43"/>
    </row>
    <row r="7" spans="1:43" ht="35.450000000000003" customHeight="1">
      <c r="A7" s="26"/>
      <c r="B7" s="27"/>
      <c r="C7" s="31"/>
      <c r="D7" s="31"/>
      <c r="E7" s="31"/>
      <c r="F7" s="31"/>
      <c r="G7" s="31"/>
      <c r="H7" s="31"/>
      <c r="I7" s="31"/>
      <c r="J7" s="31"/>
      <c r="K7" s="31"/>
      <c r="L7" s="31"/>
      <c r="M7" s="31"/>
      <c r="N7" s="44"/>
      <c r="O7" s="45"/>
      <c r="P7" s="44"/>
      <c r="Q7" s="45"/>
      <c r="R7" s="44"/>
      <c r="S7" s="45"/>
      <c r="T7" s="44"/>
      <c r="U7" s="45"/>
      <c r="V7" s="44"/>
      <c r="W7" s="45"/>
      <c r="X7" s="46"/>
      <c r="Y7" s="46"/>
      <c r="Z7" s="46"/>
      <c r="AA7" s="46"/>
      <c r="AB7" s="46"/>
      <c r="AC7" s="46"/>
      <c r="AD7" s="46"/>
      <c r="AE7" s="46"/>
      <c r="AF7" s="46"/>
      <c r="AG7" s="46"/>
      <c r="AH7" s="47"/>
      <c r="AI7" s="48"/>
      <c r="AJ7" s="48"/>
      <c r="AK7" s="48"/>
      <c r="AL7" s="49"/>
      <c r="AM7" s="47"/>
      <c r="AN7" s="48"/>
      <c r="AO7" s="48"/>
      <c r="AP7" s="48"/>
      <c r="AQ7" s="49"/>
    </row>
    <row r="8" spans="1:43" ht="35.450000000000003" customHeight="1">
      <c r="A8" s="26"/>
      <c r="B8" s="27"/>
      <c r="C8" s="31"/>
      <c r="D8" s="31"/>
      <c r="E8" s="31"/>
      <c r="F8" s="31"/>
      <c r="G8" s="31"/>
      <c r="H8" s="31"/>
      <c r="I8" s="31"/>
      <c r="J8" s="31"/>
      <c r="K8" s="31"/>
      <c r="L8" s="31"/>
      <c r="M8" s="31"/>
      <c r="N8" s="44"/>
      <c r="O8" s="45"/>
      <c r="P8" s="44"/>
      <c r="Q8" s="45"/>
      <c r="R8" s="44"/>
      <c r="S8" s="45"/>
      <c r="T8" s="44"/>
      <c r="U8" s="45"/>
      <c r="V8" s="44"/>
      <c r="W8" s="45"/>
      <c r="X8" s="46"/>
      <c r="Y8" s="46"/>
      <c r="Z8" s="46"/>
      <c r="AA8" s="46"/>
      <c r="AB8" s="46"/>
      <c r="AC8" s="46"/>
      <c r="AD8" s="46"/>
      <c r="AE8" s="46"/>
      <c r="AF8" s="46"/>
      <c r="AG8" s="46"/>
      <c r="AH8" s="40" t="s">
        <v>1214</v>
      </c>
      <c r="AI8" s="40" t="s">
        <v>1215</v>
      </c>
      <c r="AJ8" s="40" t="s">
        <v>1216</v>
      </c>
      <c r="AK8" s="40" t="s">
        <v>1217</v>
      </c>
      <c r="AL8" s="40" t="s">
        <v>1218</v>
      </c>
      <c r="AM8" s="40" t="s">
        <v>1214</v>
      </c>
      <c r="AN8" s="40" t="s">
        <v>1215</v>
      </c>
      <c r="AO8" s="40" t="s">
        <v>1216</v>
      </c>
      <c r="AP8" s="40" t="s">
        <v>1217</v>
      </c>
      <c r="AQ8" s="40" t="s">
        <v>1218</v>
      </c>
    </row>
    <row r="9" spans="1:43" ht="35.450000000000003" customHeight="1">
      <c r="A9" s="26"/>
      <c r="B9" s="27"/>
      <c r="C9" s="31"/>
      <c r="D9" s="31"/>
      <c r="E9" s="31"/>
      <c r="F9" s="31"/>
      <c r="G9" s="31"/>
      <c r="H9" s="31"/>
      <c r="I9" s="31"/>
      <c r="J9" s="31"/>
      <c r="K9" s="31"/>
      <c r="L9" s="31"/>
      <c r="M9" s="31"/>
      <c r="N9" s="50"/>
      <c r="O9" s="51"/>
      <c r="P9" s="52"/>
      <c r="Q9" s="51"/>
      <c r="R9" s="52"/>
      <c r="S9" s="51"/>
      <c r="T9" s="52"/>
      <c r="U9" s="51"/>
      <c r="V9" s="52"/>
      <c r="W9" s="51"/>
      <c r="X9" s="46"/>
      <c r="Y9" s="53"/>
      <c r="Z9" s="54"/>
      <c r="AA9" s="55"/>
      <c r="AB9" s="54"/>
      <c r="AC9" s="46"/>
      <c r="AD9" s="53"/>
      <c r="AE9" s="54"/>
      <c r="AF9" s="55"/>
      <c r="AG9" s="54"/>
      <c r="AH9" s="46"/>
      <c r="AI9" s="46"/>
      <c r="AJ9" s="46"/>
      <c r="AK9" s="46"/>
      <c r="AL9" s="46"/>
      <c r="AM9" s="46"/>
      <c r="AN9" s="46"/>
      <c r="AO9" s="46"/>
      <c r="AP9" s="46"/>
      <c r="AQ9" s="46"/>
    </row>
    <row r="10" spans="1:43" ht="35.450000000000003" customHeight="1">
      <c r="A10" s="26"/>
      <c r="B10" s="27"/>
      <c r="C10" s="31"/>
      <c r="D10" s="31"/>
      <c r="E10" s="31"/>
      <c r="F10" s="31"/>
      <c r="G10" s="31"/>
      <c r="H10" s="31"/>
      <c r="I10" s="31"/>
      <c r="J10" s="31"/>
      <c r="K10" s="31"/>
      <c r="L10" s="31"/>
      <c r="M10" s="31"/>
      <c r="N10" s="40" t="s">
        <v>1219</v>
      </c>
      <c r="O10" s="54" t="s">
        <v>1220</v>
      </c>
      <c r="P10" s="40" t="s">
        <v>1219</v>
      </c>
      <c r="Q10" s="54" t="s">
        <v>1220</v>
      </c>
      <c r="R10" s="40" t="s">
        <v>1219</v>
      </c>
      <c r="S10" s="54" t="s">
        <v>1220</v>
      </c>
      <c r="T10" s="40" t="s">
        <v>1219</v>
      </c>
      <c r="U10" s="54" t="s">
        <v>1220</v>
      </c>
      <c r="V10" s="40" t="s">
        <v>1219</v>
      </c>
      <c r="W10" s="54" t="s">
        <v>1220</v>
      </c>
      <c r="X10" s="54"/>
      <c r="Y10" s="54"/>
      <c r="Z10" s="54"/>
      <c r="AA10" s="55"/>
      <c r="AB10" s="54"/>
      <c r="AC10" s="54"/>
      <c r="AD10" s="54"/>
      <c r="AE10" s="54"/>
      <c r="AF10" s="55"/>
      <c r="AG10" s="54"/>
      <c r="AH10" s="46"/>
      <c r="AI10" s="46"/>
      <c r="AJ10" s="46"/>
      <c r="AK10" s="46"/>
      <c r="AL10" s="46"/>
      <c r="AM10" s="46"/>
      <c r="AN10" s="46"/>
      <c r="AO10" s="46"/>
      <c r="AP10" s="46"/>
      <c r="AQ10" s="46"/>
    </row>
    <row r="11" spans="1:43" ht="35.450000000000003" customHeight="1">
      <c r="A11" s="56"/>
      <c r="B11" s="57"/>
      <c r="C11" s="58"/>
      <c r="D11" s="58"/>
      <c r="E11" s="58"/>
      <c r="F11" s="58"/>
      <c r="G11" s="58"/>
      <c r="H11" s="58"/>
      <c r="I11" s="58"/>
      <c r="J11" s="58"/>
      <c r="K11" s="58"/>
      <c r="L11" s="58"/>
      <c r="M11" s="58"/>
      <c r="N11" s="59"/>
      <c r="O11" s="60"/>
      <c r="P11" s="59"/>
      <c r="Q11" s="60"/>
      <c r="R11" s="59"/>
      <c r="S11" s="60"/>
      <c r="T11" s="59"/>
      <c r="U11" s="60"/>
      <c r="V11" s="59"/>
      <c r="W11" s="60"/>
      <c r="X11" s="60"/>
      <c r="Y11" s="60"/>
      <c r="Z11" s="60"/>
      <c r="AA11" s="60"/>
      <c r="AB11" s="60"/>
      <c r="AC11" s="60"/>
      <c r="AD11" s="60"/>
      <c r="AE11" s="60"/>
      <c r="AF11" s="61"/>
      <c r="AG11" s="60"/>
      <c r="AH11" s="59"/>
      <c r="AI11" s="59"/>
      <c r="AJ11" s="59"/>
      <c r="AK11" s="59"/>
      <c r="AL11" s="59"/>
      <c r="AM11" s="59"/>
      <c r="AN11" s="59"/>
      <c r="AO11" s="59"/>
      <c r="AP11" s="59"/>
      <c r="AQ11" s="59"/>
    </row>
    <row r="12" spans="1:43" ht="35.450000000000003" customHeight="1">
      <c r="A12" s="62">
        <v>1</v>
      </c>
      <c r="B12" s="63" t="s">
        <v>6</v>
      </c>
      <c r="C12" s="64">
        <v>3</v>
      </c>
      <c r="D12" s="64">
        <v>4</v>
      </c>
      <c r="E12" s="64">
        <v>5</v>
      </c>
      <c r="F12" s="64">
        <v>6</v>
      </c>
      <c r="G12" s="64">
        <v>7</v>
      </c>
      <c r="H12" s="64">
        <v>8</v>
      </c>
      <c r="I12" s="64">
        <v>9</v>
      </c>
      <c r="J12" s="64">
        <v>10</v>
      </c>
      <c r="K12" s="64">
        <v>11</v>
      </c>
      <c r="L12" s="64">
        <v>12</v>
      </c>
      <c r="M12" s="64">
        <v>30</v>
      </c>
      <c r="N12" s="64" t="s">
        <v>1221</v>
      </c>
      <c r="O12" s="64" t="s">
        <v>1222</v>
      </c>
      <c r="P12" s="64">
        <v>33</v>
      </c>
      <c r="Q12" s="64">
        <v>34</v>
      </c>
      <c r="R12" s="64">
        <v>35</v>
      </c>
      <c r="S12" s="64">
        <v>36</v>
      </c>
      <c r="T12" s="64">
        <v>37</v>
      </c>
      <c r="U12" s="64">
        <v>38</v>
      </c>
      <c r="V12" s="64">
        <v>39</v>
      </c>
      <c r="W12" s="64">
        <v>40</v>
      </c>
      <c r="X12" s="64" t="s">
        <v>1229</v>
      </c>
      <c r="Y12" s="64">
        <v>42</v>
      </c>
      <c r="Z12" s="64">
        <v>43</v>
      </c>
      <c r="AA12" s="64">
        <v>44</v>
      </c>
      <c r="AB12" s="64">
        <v>45</v>
      </c>
      <c r="AC12" s="64" t="s">
        <v>1230</v>
      </c>
      <c r="AD12" s="64">
        <v>47</v>
      </c>
      <c r="AE12" s="64">
        <v>48</v>
      </c>
      <c r="AF12" s="64">
        <v>49</v>
      </c>
      <c r="AG12" s="64">
        <v>50</v>
      </c>
      <c r="AH12" s="64" t="s">
        <v>1235</v>
      </c>
      <c r="AI12" s="64">
        <v>52</v>
      </c>
      <c r="AJ12" s="64">
        <v>53</v>
      </c>
      <c r="AK12" s="64">
        <v>54</v>
      </c>
      <c r="AL12" s="64">
        <v>55</v>
      </c>
      <c r="AM12" s="64" t="s">
        <v>1236</v>
      </c>
      <c r="AN12" s="64">
        <v>57</v>
      </c>
      <c r="AO12" s="64">
        <v>58</v>
      </c>
      <c r="AP12" s="64">
        <v>59</v>
      </c>
      <c r="AQ12" s="64">
        <v>60</v>
      </c>
    </row>
    <row r="13" spans="1:43" ht="35.450000000000003" customHeight="1">
      <c r="A13" s="65" t="s">
        <v>7</v>
      </c>
      <c r="B13" s="66">
        <v>2500</v>
      </c>
      <c r="C13" s="66" t="s">
        <v>8</v>
      </c>
      <c r="D13" s="66" t="s">
        <v>8</v>
      </c>
      <c r="E13" s="66" t="s">
        <v>8</v>
      </c>
      <c r="F13" s="66"/>
      <c r="G13" s="66"/>
      <c r="H13" s="66"/>
      <c r="I13" s="66" t="s">
        <v>8</v>
      </c>
      <c r="J13" s="66" t="s">
        <v>8</v>
      </c>
      <c r="K13" s="66" t="s">
        <v>8</v>
      </c>
      <c r="L13" s="66" t="s">
        <v>8</v>
      </c>
      <c r="M13" s="66" t="s">
        <v>8</v>
      </c>
      <c r="N13" s="67">
        <f t="shared" ref="N13:AQ13" si="0">N14+N613+N734+N760+N843+N878</f>
        <v>2575808.2000000002</v>
      </c>
      <c r="O13" s="67">
        <f t="shared" si="0"/>
        <v>2363123</v>
      </c>
      <c r="P13" s="67">
        <f t="shared" si="0"/>
        <v>77088.7</v>
      </c>
      <c r="Q13" s="67">
        <f t="shared" si="0"/>
        <v>76556.39999999998</v>
      </c>
      <c r="R13" s="67">
        <f t="shared" si="0"/>
        <v>1566924.7000000002</v>
      </c>
      <c r="S13" s="67">
        <f t="shared" si="0"/>
        <v>1414421.2</v>
      </c>
      <c r="T13" s="67">
        <f t="shared" si="0"/>
        <v>0</v>
      </c>
      <c r="U13" s="67">
        <f t="shared" si="0"/>
        <v>0</v>
      </c>
      <c r="V13" s="67">
        <f t="shared" si="0"/>
        <v>931794.80000000016</v>
      </c>
      <c r="W13" s="67">
        <f t="shared" si="0"/>
        <v>872145.4</v>
      </c>
      <c r="X13" s="67">
        <f t="shared" si="0"/>
        <v>2505733.6000000006</v>
      </c>
      <c r="Y13" s="67">
        <f t="shared" si="0"/>
        <v>73151.900000000009</v>
      </c>
      <c r="Z13" s="67">
        <f t="shared" si="0"/>
        <v>1155002.3000000003</v>
      </c>
      <c r="AA13" s="67">
        <f t="shared" si="0"/>
        <v>0</v>
      </c>
      <c r="AB13" s="67">
        <f t="shared" si="0"/>
        <v>1277219.3999999999</v>
      </c>
      <c r="AC13" s="67">
        <f t="shared" si="0"/>
        <v>1711337</v>
      </c>
      <c r="AD13" s="67">
        <f t="shared" si="0"/>
        <v>78386.5</v>
      </c>
      <c r="AE13" s="67">
        <f t="shared" si="0"/>
        <v>672986.5</v>
      </c>
      <c r="AF13" s="67">
        <f t="shared" si="0"/>
        <v>0</v>
      </c>
      <c r="AG13" s="67">
        <f t="shared" si="0"/>
        <v>959964</v>
      </c>
      <c r="AH13" s="67">
        <f t="shared" si="0"/>
        <v>1697617.1999999997</v>
      </c>
      <c r="AI13" s="67">
        <f t="shared" si="0"/>
        <v>124516.79999999997</v>
      </c>
      <c r="AJ13" s="67">
        <f t="shared" si="0"/>
        <v>613174.29999999993</v>
      </c>
      <c r="AK13" s="67">
        <f t="shared" si="0"/>
        <v>0</v>
      </c>
      <c r="AL13" s="67">
        <f t="shared" si="0"/>
        <v>959926.1</v>
      </c>
      <c r="AM13" s="67">
        <f t="shared" si="0"/>
        <v>1697617.1999999997</v>
      </c>
      <c r="AN13" s="67">
        <f t="shared" si="0"/>
        <v>124516.79999999997</v>
      </c>
      <c r="AO13" s="67">
        <f t="shared" si="0"/>
        <v>613174.29999999993</v>
      </c>
      <c r="AP13" s="67">
        <f t="shared" si="0"/>
        <v>0</v>
      </c>
      <c r="AQ13" s="67">
        <f t="shared" si="0"/>
        <v>959926.1</v>
      </c>
    </row>
    <row r="14" spans="1:43" ht="35.450000000000003" customHeight="1">
      <c r="A14" s="65" t="s">
        <v>9</v>
      </c>
      <c r="B14" s="66">
        <v>2501</v>
      </c>
      <c r="C14" s="66" t="s">
        <v>8</v>
      </c>
      <c r="D14" s="66" t="s">
        <v>8</v>
      </c>
      <c r="E14" s="66" t="s">
        <v>8</v>
      </c>
      <c r="F14" s="66"/>
      <c r="G14" s="66"/>
      <c r="H14" s="66"/>
      <c r="I14" s="66" t="s">
        <v>8</v>
      </c>
      <c r="J14" s="66" t="s">
        <v>8</v>
      </c>
      <c r="K14" s="66" t="s">
        <v>8</v>
      </c>
      <c r="L14" s="66" t="s">
        <v>8</v>
      </c>
      <c r="M14" s="66" t="s">
        <v>8</v>
      </c>
      <c r="N14" s="68">
        <f t="shared" ref="N14:AQ14" si="1">N18+N37+N65+N107+N152+N156+N169+N178+N210+N285+N324+N334+N348+N361+N407+N462+N465+N469+N472+N477+N575+N581+N590+N610</f>
        <v>1796279.9000000001</v>
      </c>
      <c r="O14" s="68">
        <f t="shared" si="1"/>
        <v>1592443.4000000001</v>
      </c>
      <c r="P14" s="68">
        <f t="shared" si="1"/>
        <v>60739.5</v>
      </c>
      <c r="Q14" s="68">
        <f t="shared" si="1"/>
        <v>60739.099999999991</v>
      </c>
      <c r="R14" s="68">
        <f t="shared" si="1"/>
        <v>946924.9</v>
      </c>
      <c r="S14" s="68">
        <f t="shared" si="1"/>
        <v>798316.29999999993</v>
      </c>
      <c r="T14" s="68">
        <f t="shared" si="1"/>
        <v>0</v>
      </c>
      <c r="U14" s="68">
        <f t="shared" si="1"/>
        <v>0</v>
      </c>
      <c r="V14" s="68">
        <f t="shared" si="1"/>
        <v>788615.50000000012</v>
      </c>
      <c r="W14" s="68">
        <f t="shared" si="1"/>
        <v>733388</v>
      </c>
      <c r="X14" s="68">
        <f t="shared" si="1"/>
        <v>1567312.2000000002</v>
      </c>
      <c r="Y14" s="68">
        <f t="shared" si="1"/>
        <v>52110.7</v>
      </c>
      <c r="Z14" s="68">
        <f t="shared" si="1"/>
        <v>416594.30000000005</v>
      </c>
      <c r="AA14" s="68">
        <f t="shared" si="1"/>
        <v>0</v>
      </c>
      <c r="AB14" s="68">
        <f t="shared" si="1"/>
        <v>1098247.2</v>
      </c>
      <c r="AC14" s="68">
        <f t="shared" si="1"/>
        <v>964690.50000000012</v>
      </c>
      <c r="AD14" s="68">
        <f t="shared" si="1"/>
        <v>60336.69999999999</v>
      </c>
      <c r="AE14" s="68">
        <f t="shared" si="1"/>
        <v>94078.599999999991</v>
      </c>
      <c r="AF14" s="68">
        <f t="shared" si="1"/>
        <v>0</v>
      </c>
      <c r="AG14" s="68">
        <f t="shared" si="1"/>
        <v>810275.2</v>
      </c>
      <c r="AH14" s="68">
        <f t="shared" si="1"/>
        <v>949335.89999999979</v>
      </c>
      <c r="AI14" s="68">
        <f t="shared" si="1"/>
        <v>105033.29999999997</v>
      </c>
      <c r="AJ14" s="68">
        <f t="shared" si="1"/>
        <v>34064.6</v>
      </c>
      <c r="AK14" s="68">
        <f t="shared" si="1"/>
        <v>0</v>
      </c>
      <c r="AL14" s="68">
        <f t="shared" si="1"/>
        <v>810238</v>
      </c>
      <c r="AM14" s="68">
        <f t="shared" si="1"/>
        <v>949335.89999999979</v>
      </c>
      <c r="AN14" s="68">
        <f t="shared" si="1"/>
        <v>105033.29999999997</v>
      </c>
      <c r="AO14" s="68">
        <f t="shared" si="1"/>
        <v>34064.6</v>
      </c>
      <c r="AP14" s="68">
        <f t="shared" si="1"/>
        <v>0</v>
      </c>
      <c r="AQ14" s="68">
        <f t="shared" si="1"/>
        <v>810238</v>
      </c>
    </row>
    <row r="15" spans="1:43" ht="35.450000000000003" customHeight="1">
      <c r="A15" s="69" t="s">
        <v>10</v>
      </c>
      <c r="B15" s="70">
        <v>2502</v>
      </c>
      <c r="C15" s="71"/>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row>
    <row r="16" spans="1:43" ht="35.450000000000003" customHeight="1" thickBot="1">
      <c r="A16" s="72" t="s">
        <v>11</v>
      </c>
      <c r="B16" s="73"/>
      <c r="C16" s="71"/>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row>
    <row r="17" spans="1:43" ht="35.450000000000003" customHeight="1">
      <c r="A17" s="74" t="s">
        <v>12</v>
      </c>
      <c r="B17" s="75">
        <v>2503</v>
      </c>
      <c r="C17" s="71"/>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row>
    <row r="18" spans="1:43" ht="35.450000000000003" customHeight="1" thickBot="1">
      <c r="A18" s="76" t="s">
        <v>13</v>
      </c>
      <c r="B18" s="77">
        <v>2504</v>
      </c>
      <c r="C18" s="78"/>
      <c r="D18" s="5"/>
      <c r="E18" s="5"/>
      <c r="F18" s="5"/>
      <c r="G18" s="5"/>
      <c r="H18" s="5"/>
      <c r="I18" s="5"/>
      <c r="J18" s="5"/>
      <c r="K18" s="5"/>
      <c r="L18" s="5">
        <v>1</v>
      </c>
      <c r="M18" s="79"/>
      <c r="N18" s="5">
        <f t="shared" ref="N18:W18" si="2">N19+N20+N21+N36+N22+N24+N34+N23+N29+N30+N32+N35</f>
        <v>11295.3</v>
      </c>
      <c r="O18" s="5">
        <f t="shared" si="2"/>
        <v>715.7</v>
      </c>
      <c r="P18" s="5">
        <f t="shared" si="2"/>
        <v>0</v>
      </c>
      <c r="Q18" s="5">
        <f t="shared" si="2"/>
        <v>0</v>
      </c>
      <c r="R18" s="5">
        <f t="shared" si="2"/>
        <v>0</v>
      </c>
      <c r="S18" s="5">
        <f t="shared" si="2"/>
        <v>0</v>
      </c>
      <c r="T18" s="5">
        <f t="shared" si="2"/>
        <v>0</v>
      </c>
      <c r="U18" s="5">
        <f t="shared" si="2"/>
        <v>0</v>
      </c>
      <c r="V18" s="5">
        <f t="shared" si="2"/>
        <v>11295.3</v>
      </c>
      <c r="W18" s="5">
        <f t="shared" si="2"/>
        <v>715.7</v>
      </c>
      <c r="X18" s="5">
        <f>X19+X20+X21+X36+X22+X24+X34+X23+X29+X30+X32+X35+X28+X33+X31+X25+X27+X26</f>
        <v>19784.5</v>
      </c>
      <c r="Y18" s="5">
        <f>Y19+Y20+Y21+Y36+Y22+Y24+Y34+Y23+Y29+Y30+Y32+Y35+Y28+Y33+Y31+Y25+Y27+Y26</f>
        <v>0</v>
      </c>
      <c r="Z18" s="5">
        <f>Z19+Z20+Z21+Z36+Z22+Z24+Z34+Z23+Z29+Z30+Z32+Z35+Z28+Z33+Z31+Z25+Z27+Z26</f>
        <v>994.9</v>
      </c>
      <c r="AA18" s="5">
        <f>AA19+AA20+AA21+AA36+AA22+AA24+AA34+AA23+AA29+AA30+AA32+AA35+AA28+AA33+AA31+AA25+AA27+AA26</f>
        <v>0</v>
      </c>
      <c r="AB18" s="5">
        <f>AB19+AB20+AB21+AB36+AB22+AB24+AB34+AB23+AB29+AB30+AB32+AB35+AB28+AB33+AB31+AB25+AB27+AB26</f>
        <v>18789.599999999999</v>
      </c>
      <c r="AC18" s="5">
        <f t="shared" ref="AC18:AQ18" si="3">AC19+AC20+AC21+AC36+AC22+AC24+AC34+AC23+AC29+AC30+AC32+AC35+AC28+AC33+AC31+AC25</f>
        <v>10904</v>
      </c>
      <c r="AD18" s="5">
        <f t="shared" si="3"/>
        <v>0</v>
      </c>
      <c r="AE18" s="5">
        <f t="shared" si="3"/>
        <v>0</v>
      </c>
      <c r="AF18" s="5">
        <f t="shared" si="3"/>
        <v>0</v>
      </c>
      <c r="AG18" s="5">
        <f t="shared" si="3"/>
        <v>10904</v>
      </c>
      <c r="AH18" s="5">
        <f t="shared" si="3"/>
        <v>10904</v>
      </c>
      <c r="AI18" s="5">
        <f t="shared" si="3"/>
        <v>0</v>
      </c>
      <c r="AJ18" s="5">
        <f t="shared" si="3"/>
        <v>0</v>
      </c>
      <c r="AK18" s="5">
        <f t="shared" si="3"/>
        <v>0</v>
      </c>
      <c r="AL18" s="5">
        <f t="shared" si="3"/>
        <v>10904</v>
      </c>
      <c r="AM18" s="5">
        <f t="shared" si="3"/>
        <v>10904</v>
      </c>
      <c r="AN18" s="5">
        <f t="shared" si="3"/>
        <v>0</v>
      </c>
      <c r="AO18" s="5">
        <f t="shared" si="3"/>
        <v>0</v>
      </c>
      <c r="AP18" s="5">
        <f t="shared" si="3"/>
        <v>0</v>
      </c>
      <c r="AQ18" s="5">
        <f t="shared" si="3"/>
        <v>10904</v>
      </c>
    </row>
    <row r="19" spans="1:43" ht="35.450000000000003" customHeight="1" thickBot="1">
      <c r="A19" s="72" t="s">
        <v>14</v>
      </c>
      <c r="B19" s="80"/>
      <c r="C19" s="81" t="s">
        <v>15</v>
      </c>
      <c r="D19" s="82" t="s">
        <v>16</v>
      </c>
      <c r="E19" s="83" t="s">
        <v>17</v>
      </c>
      <c r="F19" s="84" t="s">
        <v>18</v>
      </c>
      <c r="G19" s="84" t="s">
        <v>19</v>
      </c>
      <c r="H19" s="84" t="s">
        <v>20</v>
      </c>
      <c r="I19" s="85" t="s">
        <v>21</v>
      </c>
      <c r="J19" s="85" t="s">
        <v>22</v>
      </c>
      <c r="K19" s="86" t="s">
        <v>23</v>
      </c>
      <c r="L19" s="3"/>
      <c r="M19" s="87"/>
      <c r="N19" s="3">
        <f>P19+R19+T19+V19</f>
        <v>0</v>
      </c>
      <c r="O19" s="5">
        <f t="shared" ref="O19:O36" si="4">Q19+S19+U19+W19</f>
        <v>0</v>
      </c>
      <c r="P19" s="3"/>
      <c r="Q19" s="3"/>
      <c r="R19" s="3"/>
      <c r="S19" s="3"/>
      <c r="T19" s="3"/>
      <c r="U19" s="3"/>
      <c r="V19" s="3">
        <f>1275-1275</f>
        <v>0</v>
      </c>
      <c r="W19" s="3"/>
      <c r="X19" s="3">
        <f>Y19+Z19+AA19+AB19</f>
        <v>0</v>
      </c>
      <c r="Y19" s="3"/>
      <c r="Z19" s="3"/>
      <c r="AA19" s="3"/>
      <c r="AB19" s="3">
        <f>1275-1275</f>
        <v>0</v>
      </c>
      <c r="AC19" s="3">
        <f>AD19+AE19+AF19+AG19</f>
        <v>0</v>
      </c>
      <c r="AD19" s="3"/>
      <c r="AE19" s="3"/>
      <c r="AF19" s="3"/>
      <c r="AG19" s="3">
        <f>1275-1275</f>
        <v>0</v>
      </c>
      <c r="AH19" s="3">
        <f>AI19+AJ19+AK19+AL19</f>
        <v>0</v>
      </c>
      <c r="AI19" s="3"/>
      <c r="AJ19" s="3"/>
      <c r="AK19" s="3"/>
      <c r="AL19" s="3">
        <f>1275-1275</f>
        <v>0</v>
      </c>
      <c r="AM19" s="3">
        <f>AN19+AO19+AP19+AQ19</f>
        <v>0</v>
      </c>
      <c r="AN19" s="3"/>
      <c r="AO19" s="3"/>
      <c r="AP19" s="3"/>
      <c r="AQ19" s="3">
        <f>1275-1275</f>
        <v>0</v>
      </c>
    </row>
    <row r="20" spans="1:43" ht="35.450000000000003" customHeight="1" thickBot="1">
      <c r="A20" s="72" t="s">
        <v>14</v>
      </c>
      <c r="B20" s="80"/>
      <c r="C20" s="88"/>
      <c r="D20" s="89"/>
      <c r="E20" s="90"/>
      <c r="F20" s="3"/>
      <c r="G20" s="3"/>
      <c r="H20" s="3"/>
      <c r="I20" s="91"/>
      <c r="J20" s="4"/>
      <c r="K20" s="92"/>
      <c r="L20" s="3"/>
      <c r="M20" s="87" t="s">
        <v>24</v>
      </c>
      <c r="N20" s="3">
        <f>P20+R20+T20+V20</f>
        <v>0</v>
      </c>
      <c r="O20" s="5">
        <f t="shared" si="4"/>
        <v>0</v>
      </c>
      <c r="P20" s="3"/>
      <c r="Q20" s="3"/>
      <c r="R20" s="3"/>
      <c r="S20" s="3"/>
      <c r="T20" s="3"/>
      <c r="U20" s="3"/>
      <c r="V20" s="3"/>
      <c r="W20" s="3"/>
      <c r="X20" s="3">
        <f>Y20+Z20+AA20+AB20</f>
        <v>0</v>
      </c>
      <c r="Y20" s="3"/>
      <c r="Z20" s="3"/>
      <c r="AA20" s="3"/>
      <c r="AB20" s="3">
        <f>160-160</f>
        <v>0</v>
      </c>
      <c r="AC20" s="3">
        <f>AD20+AE20+AF20+AG20</f>
        <v>0</v>
      </c>
      <c r="AD20" s="3"/>
      <c r="AE20" s="3"/>
      <c r="AF20" s="3"/>
      <c r="AG20" s="3"/>
      <c r="AH20" s="3">
        <f>AI20+AJ20+AK20+AL20</f>
        <v>0</v>
      </c>
      <c r="AI20" s="3"/>
      <c r="AJ20" s="3"/>
      <c r="AK20" s="3"/>
      <c r="AL20" s="3"/>
      <c r="AM20" s="3">
        <f>AN20+AO20+AP20+AQ20</f>
        <v>0</v>
      </c>
      <c r="AN20" s="3"/>
      <c r="AO20" s="3"/>
      <c r="AP20" s="3"/>
      <c r="AQ20" s="3"/>
    </row>
    <row r="21" spans="1:43" ht="35.450000000000003" customHeight="1" thickBot="1">
      <c r="A21" s="72" t="s">
        <v>14</v>
      </c>
      <c r="B21" s="80"/>
      <c r="C21" s="88"/>
      <c r="D21" s="93"/>
      <c r="E21" s="94"/>
      <c r="F21" s="3"/>
      <c r="G21" s="3"/>
      <c r="H21" s="3"/>
      <c r="I21" s="91"/>
      <c r="J21" s="4"/>
      <c r="K21" s="92"/>
      <c r="L21" s="3"/>
      <c r="M21" s="87" t="s">
        <v>25</v>
      </c>
      <c r="N21" s="3">
        <f>P21+R21+T21+V21</f>
        <v>0</v>
      </c>
      <c r="O21" s="5">
        <f t="shared" si="4"/>
        <v>0</v>
      </c>
      <c r="P21" s="3"/>
      <c r="Q21" s="3"/>
      <c r="R21" s="3"/>
      <c r="S21" s="3"/>
      <c r="T21" s="3"/>
      <c r="U21" s="3"/>
      <c r="V21" s="3">
        <f>350-300-50</f>
        <v>0</v>
      </c>
      <c r="W21" s="3"/>
      <c r="X21" s="3">
        <f>Y21+Z21+AA21+AB21</f>
        <v>0</v>
      </c>
      <c r="Y21" s="3"/>
      <c r="Z21" s="3"/>
      <c r="AA21" s="3"/>
      <c r="AB21" s="3">
        <f>350-300-50</f>
        <v>0</v>
      </c>
      <c r="AC21" s="3">
        <f>AD21+AE21+AF21+AG21</f>
        <v>0</v>
      </c>
      <c r="AD21" s="3"/>
      <c r="AE21" s="3"/>
      <c r="AF21" s="3"/>
      <c r="AG21" s="3">
        <f>350-300-50</f>
        <v>0</v>
      </c>
      <c r="AH21" s="3">
        <f>AI21+AJ21+AK21+AL21</f>
        <v>0</v>
      </c>
      <c r="AI21" s="3"/>
      <c r="AJ21" s="3"/>
      <c r="AK21" s="3"/>
      <c r="AL21" s="3">
        <f>350-300-50</f>
        <v>0</v>
      </c>
      <c r="AM21" s="3">
        <f>AN21+AO21+AP21+AQ21</f>
        <v>0</v>
      </c>
      <c r="AN21" s="3"/>
      <c r="AO21" s="3"/>
      <c r="AP21" s="3"/>
      <c r="AQ21" s="3">
        <f>350-300-50</f>
        <v>0</v>
      </c>
    </row>
    <row r="22" spans="1:43" ht="35.450000000000003" customHeight="1" thickBot="1">
      <c r="A22" s="72" t="s">
        <v>14</v>
      </c>
      <c r="B22" s="80"/>
      <c r="C22" s="88"/>
      <c r="D22" s="95"/>
      <c r="E22" s="95"/>
      <c r="F22" s="3"/>
      <c r="G22" s="3"/>
      <c r="H22" s="3"/>
      <c r="I22" s="91"/>
      <c r="J22" s="4"/>
      <c r="K22" s="92"/>
      <c r="L22" s="3"/>
      <c r="M22" s="96" t="s">
        <v>26</v>
      </c>
      <c r="N22" s="3">
        <f>P22+R22+T22+V22</f>
        <v>480</v>
      </c>
      <c r="O22" s="5">
        <f t="shared" si="4"/>
        <v>200</v>
      </c>
      <c r="P22" s="3"/>
      <c r="Q22" s="3"/>
      <c r="R22" s="3"/>
      <c r="S22" s="3"/>
      <c r="T22" s="3"/>
      <c r="U22" s="3"/>
      <c r="V22" s="3">
        <f>200+280</f>
        <v>480</v>
      </c>
      <c r="W22" s="3">
        <v>200</v>
      </c>
      <c r="X22" s="3">
        <f>Y22+Z22+AA22+AB22</f>
        <v>204</v>
      </c>
      <c r="Y22" s="3"/>
      <c r="Z22" s="3"/>
      <c r="AA22" s="3"/>
      <c r="AB22" s="3">
        <v>204</v>
      </c>
      <c r="AC22" s="3">
        <f>AD22+AE22+AF22+AG22</f>
        <v>204</v>
      </c>
      <c r="AD22" s="3"/>
      <c r="AE22" s="3"/>
      <c r="AF22" s="3"/>
      <c r="AG22" s="3">
        <v>204</v>
      </c>
      <c r="AH22" s="3">
        <f>AI22+AJ22+AK22+AL22</f>
        <v>204</v>
      </c>
      <c r="AI22" s="3"/>
      <c r="AJ22" s="3"/>
      <c r="AK22" s="3"/>
      <c r="AL22" s="3">
        <v>204</v>
      </c>
      <c r="AM22" s="3">
        <f>AN22+AO22+AP22+AQ22</f>
        <v>204</v>
      </c>
      <c r="AN22" s="3"/>
      <c r="AO22" s="3"/>
      <c r="AP22" s="3"/>
      <c r="AQ22" s="3">
        <v>204</v>
      </c>
    </row>
    <row r="23" spans="1:43" ht="35.450000000000003" customHeight="1" thickBot="1">
      <c r="A23" s="72" t="s">
        <v>14</v>
      </c>
      <c r="B23" s="80"/>
      <c r="C23" s="97"/>
      <c r="D23" s="95"/>
      <c r="E23" s="95"/>
      <c r="F23" s="3"/>
      <c r="G23" s="3"/>
      <c r="H23" s="3"/>
      <c r="I23" s="98"/>
      <c r="J23" s="95"/>
      <c r="K23" s="99"/>
      <c r="L23" s="3"/>
      <c r="M23" s="96" t="s">
        <v>27</v>
      </c>
      <c r="N23" s="3"/>
      <c r="O23" s="5">
        <f t="shared" si="4"/>
        <v>0</v>
      </c>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43" ht="35.450000000000003" customHeight="1" thickBot="1">
      <c r="A24" s="72" t="s">
        <v>28</v>
      </c>
      <c r="B24" s="80"/>
      <c r="C24" s="100"/>
      <c r="D24" s="95"/>
      <c r="E24" s="95"/>
      <c r="F24" s="3"/>
      <c r="G24" s="3"/>
      <c r="H24" s="3"/>
      <c r="I24" s="100"/>
      <c r="J24" s="95"/>
      <c r="K24" s="99"/>
      <c r="L24" s="3"/>
      <c r="M24" s="96" t="s">
        <v>29</v>
      </c>
      <c r="N24" s="3">
        <f t="shared" ref="N24:N36" si="5">P24+R24+T24+V24</f>
        <v>0</v>
      </c>
      <c r="O24" s="5">
        <f t="shared" si="4"/>
        <v>0</v>
      </c>
      <c r="P24" s="3"/>
      <c r="Q24" s="3"/>
      <c r="R24" s="3"/>
      <c r="S24" s="3"/>
      <c r="T24" s="3"/>
      <c r="U24" s="3"/>
      <c r="V24" s="3"/>
      <c r="W24" s="3"/>
      <c r="X24" s="3">
        <f t="shared" ref="X24:X36" si="6">Y24+Z24+AA24+AB24</f>
        <v>388.1</v>
      </c>
      <c r="Y24" s="3"/>
      <c r="Z24" s="3"/>
      <c r="AA24" s="3"/>
      <c r="AB24" s="3">
        <f>135.8+229.5+22.8</f>
        <v>388.1</v>
      </c>
      <c r="AC24" s="3">
        <f t="shared" ref="AC24:AC36" si="7">AD24+AE24+AF24+AG24</f>
        <v>0</v>
      </c>
      <c r="AD24" s="3"/>
      <c r="AE24" s="3"/>
      <c r="AF24" s="3"/>
      <c r="AG24" s="3"/>
      <c r="AH24" s="3">
        <f>AI24+AJ24+AK24+AL24</f>
        <v>0</v>
      </c>
      <c r="AI24" s="3"/>
      <c r="AJ24" s="3"/>
      <c r="AK24" s="3"/>
      <c r="AL24" s="3"/>
      <c r="AM24" s="3">
        <f>AN24+AO24+AP24+AQ24</f>
        <v>0</v>
      </c>
      <c r="AN24" s="3"/>
      <c r="AO24" s="3"/>
      <c r="AP24" s="3"/>
      <c r="AQ24" s="3"/>
    </row>
    <row r="25" spans="1:43" ht="35.450000000000003" customHeight="1" thickBot="1">
      <c r="A25" s="72" t="s">
        <v>30</v>
      </c>
      <c r="B25" s="80"/>
      <c r="C25" s="100"/>
      <c r="D25" s="95"/>
      <c r="E25" s="95"/>
      <c r="F25" s="3"/>
      <c r="G25" s="3"/>
      <c r="H25" s="3"/>
      <c r="I25" s="100"/>
      <c r="J25" s="95"/>
      <c r="K25" s="99"/>
      <c r="L25" s="3"/>
      <c r="M25" s="96" t="s">
        <v>31</v>
      </c>
      <c r="N25" s="3"/>
      <c r="O25" s="5"/>
      <c r="P25" s="3"/>
      <c r="Q25" s="3"/>
      <c r="R25" s="3"/>
      <c r="S25" s="3"/>
      <c r="T25" s="3"/>
      <c r="U25" s="3"/>
      <c r="V25" s="3"/>
      <c r="W25" s="3"/>
      <c r="X25" s="3">
        <f t="shared" si="6"/>
        <v>1106.5999999999999</v>
      </c>
      <c r="Y25" s="3"/>
      <c r="Z25" s="3"/>
      <c r="AA25" s="3"/>
      <c r="AB25" s="3">
        <v>1106.5999999999999</v>
      </c>
      <c r="AC25" s="3"/>
      <c r="AD25" s="3"/>
      <c r="AE25" s="3"/>
      <c r="AF25" s="3"/>
      <c r="AG25" s="3"/>
      <c r="AH25" s="3"/>
      <c r="AI25" s="3"/>
      <c r="AJ25" s="3"/>
      <c r="AK25" s="3"/>
      <c r="AL25" s="3"/>
      <c r="AM25" s="3"/>
      <c r="AN25" s="3"/>
      <c r="AO25" s="3"/>
      <c r="AP25" s="3"/>
      <c r="AQ25" s="3"/>
    </row>
    <row r="26" spans="1:43" ht="35.450000000000003" customHeight="1" thickBot="1">
      <c r="A26" s="72"/>
      <c r="B26" s="80"/>
      <c r="C26" s="100"/>
      <c r="D26" s="95"/>
      <c r="E26" s="95"/>
      <c r="F26" s="3"/>
      <c r="G26" s="3"/>
      <c r="H26" s="3"/>
      <c r="I26" s="100"/>
      <c r="J26" s="95"/>
      <c r="K26" s="99"/>
      <c r="L26" s="3"/>
      <c r="M26" s="96" t="s">
        <v>32</v>
      </c>
      <c r="N26" s="3"/>
      <c r="O26" s="5"/>
      <c r="P26" s="3"/>
      <c r="Q26" s="3"/>
      <c r="R26" s="3"/>
      <c r="S26" s="3"/>
      <c r="T26" s="3"/>
      <c r="U26" s="3"/>
      <c r="V26" s="3"/>
      <c r="W26" s="3"/>
      <c r="X26" s="3">
        <f t="shared" si="6"/>
        <v>150</v>
      </c>
      <c r="Y26" s="3"/>
      <c r="Z26" s="3"/>
      <c r="AA26" s="3"/>
      <c r="AB26" s="3">
        <v>150</v>
      </c>
      <c r="AC26" s="3"/>
      <c r="AD26" s="3"/>
      <c r="AE26" s="3"/>
      <c r="AF26" s="3"/>
      <c r="AG26" s="3"/>
      <c r="AH26" s="3"/>
      <c r="AI26" s="3"/>
      <c r="AJ26" s="3"/>
      <c r="AK26" s="3"/>
      <c r="AL26" s="3"/>
      <c r="AM26" s="3"/>
      <c r="AN26" s="3"/>
      <c r="AO26" s="3"/>
      <c r="AP26" s="3"/>
      <c r="AQ26" s="3"/>
    </row>
    <row r="27" spans="1:43" ht="35.450000000000003" customHeight="1" thickBot="1">
      <c r="A27" s="72" t="s">
        <v>30</v>
      </c>
      <c r="B27" s="80"/>
      <c r="C27" s="100"/>
      <c r="D27" s="95"/>
      <c r="E27" s="95"/>
      <c r="F27" s="3"/>
      <c r="G27" s="3"/>
      <c r="H27" s="3"/>
      <c r="I27" s="100"/>
      <c r="J27" s="95"/>
      <c r="K27" s="99"/>
      <c r="L27" s="3"/>
      <c r="M27" s="96" t="s">
        <v>33</v>
      </c>
      <c r="N27" s="3"/>
      <c r="O27" s="5"/>
      <c r="P27" s="3"/>
      <c r="Q27" s="3"/>
      <c r="R27" s="3"/>
      <c r="S27" s="3"/>
      <c r="T27" s="3"/>
      <c r="U27" s="3"/>
      <c r="V27" s="3"/>
      <c r="W27" s="3"/>
      <c r="X27" s="3">
        <f t="shared" si="6"/>
        <v>1086.4000000000001</v>
      </c>
      <c r="Y27" s="3"/>
      <c r="Z27" s="3"/>
      <c r="AA27" s="3"/>
      <c r="AB27" s="3">
        <f>786.4+300</f>
        <v>1086.4000000000001</v>
      </c>
      <c r="AC27" s="3"/>
      <c r="AD27" s="3"/>
      <c r="AE27" s="3"/>
      <c r="AF27" s="3"/>
      <c r="AG27" s="3"/>
      <c r="AH27" s="3"/>
      <c r="AI27" s="3"/>
      <c r="AJ27" s="3"/>
      <c r="AK27" s="3"/>
      <c r="AL27" s="3"/>
      <c r="AM27" s="3"/>
      <c r="AN27" s="3"/>
      <c r="AO27" s="3"/>
      <c r="AP27" s="3"/>
      <c r="AQ27" s="3"/>
    </row>
    <row r="28" spans="1:43" ht="35.450000000000003" customHeight="1" thickBot="1">
      <c r="A28" s="72" t="s">
        <v>30</v>
      </c>
      <c r="B28" s="80"/>
      <c r="C28" s="84" t="s">
        <v>34</v>
      </c>
      <c r="D28" s="84" t="s">
        <v>35</v>
      </c>
      <c r="E28" s="84" t="s">
        <v>36</v>
      </c>
      <c r="F28" s="84" t="s">
        <v>37</v>
      </c>
      <c r="G28" s="84" t="s">
        <v>19</v>
      </c>
      <c r="H28" s="84" t="s">
        <v>38</v>
      </c>
      <c r="I28" s="100"/>
      <c r="J28" s="95"/>
      <c r="K28" s="99"/>
      <c r="L28" s="3"/>
      <c r="M28" s="96" t="s">
        <v>39</v>
      </c>
      <c r="N28" s="3"/>
      <c r="O28" s="5"/>
      <c r="P28" s="3"/>
      <c r="Q28" s="3"/>
      <c r="R28" s="3"/>
      <c r="S28" s="3"/>
      <c r="T28" s="3"/>
      <c r="U28" s="3"/>
      <c r="V28" s="3"/>
      <c r="W28" s="3"/>
      <c r="X28" s="3">
        <f t="shared" si="6"/>
        <v>995.9</v>
      </c>
      <c r="Y28" s="3"/>
      <c r="Z28" s="3">
        <f>1024-29.1</f>
        <v>994.9</v>
      </c>
      <c r="AA28" s="3"/>
      <c r="AB28" s="3">
        <v>1</v>
      </c>
      <c r="AC28" s="3"/>
      <c r="AD28" s="3"/>
      <c r="AE28" s="3"/>
      <c r="AF28" s="3"/>
      <c r="AG28" s="3"/>
      <c r="AH28" s="3"/>
      <c r="AI28" s="3"/>
      <c r="AJ28" s="3"/>
      <c r="AK28" s="3"/>
      <c r="AL28" s="3"/>
      <c r="AM28" s="3"/>
      <c r="AN28" s="3"/>
      <c r="AO28" s="3"/>
      <c r="AP28" s="3"/>
      <c r="AQ28" s="3"/>
    </row>
    <row r="29" spans="1:43" ht="35.450000000000003" customHeight="1" thickBot="1">
      <c r="A29" s="72" t="s">
        <v>40</v>
      </c>
      <c r="B29" s="80"/>
      <c r="C29" s="84" t="s">
        <v>41</v>
      </c>
      <c r="D29" s="84" t="s">
        <v>42</v>
      </c>
      <c r="E29" s="84" t="s">
        <v>43</v>
      </c>
      <c r="F29" s="84" t="s">
        <v>44</v>
      </c>
      <c r="G29" s="84" t="s">
        <v>19</v>
      </c>
      <c r="H29" s="84" t="s">
        <v>45</v>
      </c>
      <c r="I29" s="100"/>
      <c r="J29" s="95"/>
      <c r="K29" s="99"/>
      <c r="L29" s="3"/>
      <c r="M29" s="96" t="s">
        <v>25</v>
      </c>
      <c r="N29" s="3">
        <f t="shared" si="5"/>
        <v>0</v>
      </c>
      <c r="O29" s="5">
        <f t="shared" si="4"/>
        <v>0</v>
      </c>
      <c r="P29" s="3"/>
      <c r="Q29" s="3"/>
      <c r="R29" s="3"/>
      <c r="S29" s="3"/>
      <c r="T29" s="3"/>
      <c r="U29" s="3"/>
      <c r="V29" s="3"/>
      <c r="W29" s="3"/>
      <c r="X29" s="3">
        <f t="shared" si="6"/>
        <v>0</v>
      </c>
      <c r="Y29" s="3"/>
      <c r="Z29" s="3"/>
      <c r="AA29" s="3"/>
      <c r="AB29" s="3"/>
      <c r="AC29" s="3">
        <f t="shared" si="7"/>
        <v>0</v>
      </c>
      <c r="AD29" s="3"/>
      <c r="AE29" s="3"/>
      <c r="AF29" s="3"/>
      <c r="AG29" s="3"/>
      <c r="AH29" s="3">
        <f>AI29+AJ29+AK29+AL29</f>
        <v>0</v>
      </c>
      <c r="AI29" s="3"/>
      <c r="AJ29" s="3"/>
      <c r="AK29" s="3"/>
      <c r="AL29" s="3"/>
      <c r="AM29" s="3">
        <f>AN29+AO29+AP29+AQ29</f>
        <v>0</v>
      </c>
      <c r="AN29" s="3"/>
      <c r="AO29" s="3"/>
      <c r="AP29" s="3"/>
      <c r="AQ29" s="3"/>
    </row>
    <row r="30" spans="1:43" ht="35.450000000000003" customHeight="1" thickBot="1">
      <c r="A30" s="72" t="s">
        <v>40</v>
      </c>
      <c r="B30" s="80"/>
      <c r="C30" s="84" t="s">
        <v>46</v>
      </c>
      <c r="D30" s="84" t="s">
        <v>19</v>
      </c>
      <c r="E30" s="84" t="s">
        <v>47</v>
      </c>
      <c r="F30" s="84" t="s">
        <v>48</v>
      </c>
      <c r="G30" s="101" t="s">
        <v>19</v>
      </c>
      <c r="H30" s="84" t="s">
        <v>49</v>
      </c>
      <c r="I30" s="100"/>
      <c r="J30" s="95"/>
      <c r="K30" s="99"/>
      <c r="L30" s="3"/>
      <c r="M30" s="96" t="s">
        <v>50</v>
      </c>
      <c r="N30" s="3">
        <f t="shared" si="5"/>
        <v>217</v>
      </c>
      <c r="O30" s="5">
        <f t="shared" si="4"/>
        <v>202.1</v>
      </c>
      <c r="P30" s="3"/>
      <c r="Q30" s="3"/>
      <c r="R30" s="3"/>
      <c r="S30" s="3"/>
      <c r="T30" s="3"/>
      <c r="U30" s="3"/>
      <c r="V30" s="3">
        <f>200+300-283</f>
        <v>217</v>
      </c>
      <c r="W30" s="3">
        <v>202.1</v>
      </c>
      <c r="X30" s="3">
        <f t="shared" si="6"/>
        <v>150</v>
      </c>
      <c r="Y30" s="3"/>
      <c r="Z30" s="3"/>
      <c r="AA30" s="3"/>
      <c r="AB30" s="3">
        <f>100+50</f>
        <v>150</v>
      </c>
      <c r="AC30" s="3">
        <f t="shared" si="7"/>
        <v>200</v>
      </c>
      <c r="AD30" s="3"/>
      <c r="AE30" s="3"/>
      <c r="AF30" s="3"/>
      <c r="AG30" s="3">
        <v>200</v>
      </c>
      <c r="AH30" s="3">
        <f>AI30+AJ30+AK30+AL30</f>
        <v>200</v>
      </c>
      <c r="AI30" s="3"/>
      <c r="AJ30" s="3"/>
      <c r="AK30" s="3"/>
      <c r="AL30" s="3">
        <v>200</v>
      </c>
      <c r="AM30" s="3">
        <f>AN30+AO30+AP30+AQ30</f>
        <v>200</v>
      </c>
      <c r="AN30" s="3"/>
      <c r="AO30" s="3"/>
      <c r="AP30" s="3"/>
      <c r="AQ30" s="3">
        <v>200</v>
      </c>
    </row>
    <row r="31" spans="1:43" ht="35.450000000000003" customHeight="1" thickBot="1">
      <c r="A31" s="72" t="s">
        <v>40</v>
      </c>
      <c r="B31" s="80"/>
      <c r="C31" s="100"/>
      <c r="D31" s="95"/>
      <c r="E31" s="95"/>
      <c r="F31" s="3"/>
      <c r="G31" s="3"/>
      <c r="H31" s="3"/>
      <c r="I31" s="100"/>
      <c r="J31" s="95"/>
      <c r="K31" s="99"/>
      <c r="L31" s="3"/>
      <c r="M31" s="96" t="s">
        <v>51</v>
      </c>
      <c r="N31" s="3"/>
      <c r="O31" s="5"/>
      <c r="P31" s="3"/>
      <c r="Q31" s="3"/>
      <c r="R31" s="3"/>
      <c r="S31" s="3"/>
      <c r="T31" s="3"/>
      <c r="U31" s="3"/>
      <c r="V31" s="3"/>
      <c r="W31" s="3"/>
      <c r="X31" s="3">
        <f t="shared" si="6"/>
        <v>50</v>
      </c>
      <c r="Y31" s="3"/>
      <c r="Z31" s="3"/>
      <c r="AA31" s="3"/>
      <c r="AB31" s="3">
        <v>50</v>
      </c>
      <c r="AC31" s="3"/>
      <c r="AD31" s="3"/>
      <c r="AE31" s="3"/>
      <c r="AF31" s="3"/>
      <c r="AG31" s="3"/>
      <c r="AH31" s="3"/>
      <c r="AI31" s="3"/>
      <c r="AJ31" s="3"/>
      <c r="AK31" s="3"/>
      <c r="AL31" s="3"/>
      <c r="AM31" s="3"/>
      <c r="AN31" s="3"/>
      <c r="AO31" s="3"/>
      <c r="AP31" s="3"/>
      <c r="AQ31" s="3"/>
    </row>
    <row r="32" spans="1:43" ht="35.450000000000003" customHeight="1" thickBot="1">
      <c r="A32" s="72" t="s">
        <v>40</v>
      </c>
      <c r="B32" s="80"/>
      <c r="C32" s="100"/>
      <c r="D32" s="95"/>
      <c r="E32" s="95"/>
      <c r="F32" s="3"/>
      <c r="G32" s="3"/>
      <c r="H32" s="3"/>
      <c r="I32" s="100"/>
      <c r="J32" s="95"/>
      <c r="K32" s="99"/>
      <c r="L32" s="3"/>
      <c r="M32" s="96" t="s">
        <v>24</v>
      </c>
      <c r="N32" s="3">
        <f t="shared" si="5"/>
        <v>598.29999999999995</v>
      </c>
      <c r="O32" s="5">
        <f t="shared" si="4"/>
        <v>313.60000000000002</v>
      </c>
      <c r="P32" s="3"/>
      <c r="Q32" s="3"/>
      <c r="R32" s="3"/>
      <c r="S32" s="3"/>
      <c r="T32" s="3"/>
      <c r="U32" s="3"/>
      <c r="V32" s="3">
        <f>200+600-201.7</f>
        <v>598.29999999999995</v>
      </c>
      <c r="W32" s="3">
        <v>313.60000000000002</v>
      </c>
      <c r="X32" s="3">
        <f t="shared" si="6"/>
        <v>460</v>
      </c>
      <c r="Y32" s="3"/>
      <c r="Z32" s="3"/>
      <c r="AA32" s="3"/>
      <c r="AB32" s="3">
        <f>300+160</f>
        <v>460</v>
      </c>
      <c r="AC32" s="3">
        <f t="shared" si="7"/>
        <v>500</v>
      </c>
      <c r="AD32" s="3"/>
      <c r="AE32" s="3"/>
      <c r="AF32" s="3"/>
      <c r="AG32" s="3">
        <v>500</v>
      </c>
      <c r="AH32" s="3">
        <f>AI32+AJ32+AK32+AL32</f>
        <v>500</v>
      </c>
      <c r="AI32" s="3"/>
      <c r="AJ32" s="3"/>
      <c r="AK32" s="3"/>
      <c r="AL32" s="3">
        <v>500</v>
      </c>
      <c r="AM32" s="3">
        <f>AN32+AO32+AP32+AQ32</f>
        <v>500</v>
      </c>
      <c r="AN32" s="3"/>
      <c r="AO32" s="3"/>
      <c r="AP32" s="3"/>
      <c r="AQ32" s="3">
        <v>500</v>
      </c>
    </row>
    <row r="33" spans="1:43" ht="35.450000000000003" customHeight="1" thickBot="1">
      <c r="A33" s="72" t="s">
        <v>40</v>
      </c>
      <c r="B33" s="80"/>
      <c r="C33" s="100"/>
      <c r="D33" s="95"/>
      <c r="E33" s="95"/>
      <c r="F33" s="3"/>
      <c r="G33" s="3"/>
      <c r="H33" s="3"/>
      <c r="I33" s="100"/>
      <c r="J33" s="95"/>
      <c r="K33" s="99"/>
      <c r="L33" s="3"/>
      <c r="M33" s="96" t="s">
        <v>52</v>
      </c>
      <c r="N33" s="3"/>
      <c r="O33" s="5"/>
      <c r="P33" s="3"/>
      <c r="Q33" s="3"/>
      <c r="R33" s="3"/>
      <c r="S33" s="3"/>
      <c r="T33" s="3"/>
      <c r="U33" s="3"/>
      <c r="V33" s="3"/>
      <c r="W33" s="3"/>
      <c r="X33" s="3">
        <f t="shared" si="6"/>
        <v>180</v>
      </c>
      <c r="Y33" s="3"/>
      <c r="Z33" s="3"/>
      <c r="AA33" s="3"/>
      <c r="AB33" s="3">
        <v>180</v>
      </c>
      <c r="AC33" s="3"/>
      <c r="AD33" s="3"/>
      <c r="AE33" s="3"/>
      <c r="AF33" s="3"/>
      <c r="AG33" s="3"/>
      <c r="AH33" s="3"/>
      <c r="AI33" s="3"/>
      <c r="AJ33" s="3"/>
      <c r="AK33" s="3"/>
      <c r="AL33" s="3"/>
      <c r="AM33" s="3"/>
      <c r="AN33" s="3"/>
      <c r="AO33" s="3"/>
      <c r="AP33" s="3"/>
      <c r="AQ33" s="3"/>
    </row>
    <row r="34" spans="1:43" ht="35.450000000000003" customHeight="1" thickBot="1">
      <c r="A34" s="72" t="s">
        <v>53</v>
      </c>
      <c r="B34" s="80"/>
      <c r="C34" s="100"/>
      <c r="D34" s="95"/>
      <c r="E34" s="95"/>
      <c r="F34" s="3"/>
      <c r="G34" s="3"/>
      <c r="H34" s="3"/>
      <c r="I34" s="100"/>
      <c r="J34" s="95"/>
      <c r="K34" s="99"/>
      <c r="L34" s="3"/>
      <c r="M34" s="96" t="s">
        <v>54</v>
      </c>
      <c r="N34" s="3">
        <f t="shared" si="5"/>
        <v>0</v>
      </c>
      <c r="O34" s="5">
        <f t="shared" si="4"/>
        <v>0</v>
      </c>
      <c r="P34" s="3"/>
      <c r="Q34" s="3"/>
      <c r="R34" s="3"/>
      <c r="S34" s="3"/>
      <c r="T34" s="3"/>
      <c r="U34" s="3"/>
      <c r="V34" s="3">
        <f>500-500</f>
        <v>0</v>
      </c>
      <c r="W34" s="3"/>
      <c r="X34" s="3">
        <f t="shared" si="6"/>
        <v>0</v>
      </c>
      <c r="Y34" s="3"/>
      <c r="Z34" s="3"/>
      <c r="AA34" s="3"/>
      <c r="AB34" s="3">
        <f>500-500</f>
        <v>0</v>
      </c>
      <c r="AC34" s="3">
        <f t="shared" si="7"/>
        <v>0</v>
      </c>
      <c r="AD34" s="3"/>
      <c r="AE34" s="3"/>
      <c r="AF34" s="3"/>
      <c r="AG34" s="3">
        <f>500-500</f>
        <v>0</v>
      </c>
      <c r="AH34" s="3">
        <f>AI34+AJ34+AK34+AL34</f>
        <v>0</v>
      </c>
      <c r="AI34" s="3"/>
      <c r="AJ34" s="3"/>
      <c r="AK34" s="3"/>
      <c r="AL34" s="3">
        <f>500-500</f>
        <v>0</v>
      </c>
      <c r="AM34" s="3">
        <f>AN34+AO34+AP34+AQ34</f>
        <v>0</v>
      </c>
      <c r="AN34" s="3"/>
      <c r="AO34" s="3"/>
      <c r="AP34" s="3"/>
      <c r="AQ34" s="3">
        <f>500-500</f>
        <v>0</v>
      </c>
    </row>
    <row r="35" spans="1:43" ht="35.450000000000003" customHeight="1" thickBot="1">
      <c r="A35" s="72" t="s">
        <v>53</v>
      </c>
      <c r="B35" s="80"/>
      <c r="C35" s="100"/>
      <c r="D35" s="95"/>
      <c r="E35" s="95"/>
      <c r="F35" s="3"/>
      <c r="G35" s="3"/>
      <c r="H35" s="3"/>
      <c r="I35" s="100"/>
      <c r="J35" s="95"/>
      <c r="K35" s="99"/>
      <c r="L35" s="3"/>
      <c r="M35" s="96" t="s">
        <v>55</v>
      </c>
      <c r="N35" s="3">
        <f t="shared" si="5"/>
        <v>0</v>
      </c>
      <c r="O35" s="5">
        <f t="shared" si="4"/>
        <v>0</v>
      </c>
      <c r="P35" s="3"/>
      <c r="Q35" s="3"/>
      <c r="R35" s="3"/>
      <c r="S35" s="3"/>
      <c r="T35" s="3"/>
      <c r="U35" s="3"/>
      <c r="V35" s="3"/>
      <c r="W35" s="3"/>
      <c r="X35" s="3">
        <f t="shared" si="6"/>
        <v>0</v>
      </c>
      <c r="Y35" s="3"/>
      <c r="Z35" s="3"/>
      <c r="AA35" s="3"/>
      <c r="AB35" s="3"/>
      <c r="AC35" s="3">
        <f t="shared" si="7"/>
        <v>0</v>
      </c>
      <c r="AD35" s="3"/>
      <c r="AE35" s="3"/>
      <c r="AF35" s="3"/>
      <c r="AG35" s="3"/>
      <c r="AH35" s="3">
        <f>AI35+AJ35+AK35+AL35</f>
        <v>0</v>
      </c>
      <c r="AI35" s="3"/>
      <c r="AJ35" s="3"/>
      <c r="AK35" s="3"/>
      <c r="AL35" s="3"/>
      <c r="AM35" s="3">
        <f>AN35+AO35+AP35+AQ35</f>
        <v>0</v>
      </c>
      <c r="AN35" s="3"/>
      <c r="AO35" s="3"/>
      <c r="AP35" s="3"/>
      <c r="AQ35" s="3"/>
    </row>
    <row r="36" spans="1:43" ht="35.450000000000003" customHeight="1" thickBot="1">
      <c r="A36" s="72" t="s">
        <v>56</v>
      </c>
      <c r="B36" s="80"/>
      <c r="C36" s="102" t="s">
        <v>57</v>
      </c>
      <c r="D36" s="102" t="s">
        <v>58</v>
      </c>
      <c r="E36" s="102" t="s">
        <v>59</v>
      </c>
      <c r="F36" s="3"/>
      <c r="G36" s="3"/>
      <c r="H36" s="3"/>
      <c r="I36" s="103" t="s">
        <v>60</v>
      </c>
      <c r="J36" s="102" t="s">
        <v>61</v>
      </c>
      <c r="K36" s="102" t="s">
        <v>62</v>
      </c>
      <c r="L36" s="3"/>
      <c r="M36" s="87" t="s">
        <v>63</v>
      </c>
      <c r="N36" s="3">
        <f t="shared" si="5"/>
        <v>10000</v>
      </c>
      <c r="O36" s="5">
        <f t="shared" si="4"/>
        <v>0</v>
      </c>
      <c r="P36" s="3"/>
      <c r="Q36" s="3"/>
      <c r="R36" s="3"/>
      <c r="S36" s="3"/>
      <c r="T36" s="3"/>
      <c r="U36" s="3"/>
      <c r="V36" s="3">
        <v>10000</v>
      </c>
      <c r="W36" s="3">
        <v>0</v>
      </c>
      <c r="X36" s="3">
        <f t="shared" si="6"/>
        <v>15013.5</v>
      </c>
      <c r="Y36" s="3"/>
      <c r="Z36" s="3"/>
      <c r="AA36" s="3"/>
      <c r="AB36" s="3">
        <f>5000+10000+13.5</f>
        <v>15013.5</v>
      </c>
      <c r="AC36" s="3">
        <f t="shared" si="7"/>
        <v>10000</v>
      </c>
      <c r="AD36" s="3"/>
      <c r="AE36" s="3"/>
      <c r="AF36" s="3"/>
      <c r="AG36" s="3">
        <v>10000</v>
      </c>
      <c r="AH36" s="3">
        <f>AI36+AJ36+AK36+AL36</f>
        <v>10000</v>
      </c>
      <c r="AI36" s="3"/>
      <c r="AJ36" s="3"/>
      <c r="AK36" s="3"/>
      <c r="AL36" s="3">
        <v>10000</v>
      </c>
      <c r="AM36" s="3">
        <f>AN36+AO36+AP36+AQ36</f>
        <v>10000</v>
      </c>
      <c r="AN36" s="3"/>
      <c r="AO36" s="3"/>
      <c r="AP36" s="3"/>
      <c r="AQ36" s="3">
        <v>10000</v>
      </c>
    </row>
    <row r="37" spans="1:43" ht="35.450000000000003" customHeight="1" thickBot="1">
      <c r="A37" s="76" t="s">
        <v>64</v>
      </c>
      <c r="B37" s="77">
        <v>2505</v>
      </c>
      <c r="C37" s="78"/>
      <c r="D37" s="5"/>
      <c r="E37" s="5"/>
      <c r="F37" s="5"/>
      <c r="G37" s="5"/>
      <c r="H37" s="5"/>
      <c r="I37" s="5"/>
      <c r="J37" s="5"/>
      <c r="K37" s="5"/>
      <c r="L37" s="5">
        <v>19</v>
      </c>
      <c r="M37" s="5"/>
      <c r="N37" s="5">
        <f>N38+N39+N40+N41+N43+N44+N45+N47+N49+N50+N51+N52+N55+N56+N58+N42+N59</f>
        <v>18113.899999999998</v>
      </c>
      <c r="O37" s="5">
        <f>+Q37+S37+U37+W37</f>
        <v>16089.5</v>
      </c>
      <c r="P37" s="5">
        <f t="shared" ref="P37:W37" si="8">P38+P39+P40+P41+P43+P44+P45+P47+P49+P50+P51+P52+P55+P56+P58+P42+P59</f>
        <v>0</v>
      </c>
      <c r="Q37" s="5">
        <f t="shared" si="8"/>
        <v>0</v>
      </c>
      <c r="R37" s="5">
        <f t="shared" si="8"/>
        <v>15762.8</v>
      </c>
      <c r="S37" s="5">
        <f t="shared" si="8"/>
        <v>15304.1</v>
      </c>
      <c r="T37" s="5">
        <f t="shared" si="8"/>
        <v>0</v>
      </c>
      <c r="U37" s="5">
        <f t="shared" si="8"/>
        <v>0</v>
      </c>
      <c r="V37" s="5">
        <f t="shared" si="8"/>
        <v>2351.1</v>
      </c>
      <c r="W37" s="5">
        <f t="shared" si="8"/>
        <v>785.4</v>
      </c>
      <c r="X37" s="5">
        <f>X38+X39+X40+X41+X43+X44+X45+X47+X49+X50+X51+X52+X55+X56+X58+X59+X48+X62+X54+X53+X61</f>
        <v>52119.8</v>
      </c>
      <c r="Y37" s="5">
        <f>Y38+Y39+Y40+Y41+Y43+Y44+Y45+Y47+Y49+Y50+Y51+Y52+Y55+Y56+Y58+Y59+Y48+Y62+Y54+Y53+Y61</f>
        <v>0</v>
      </c>
      <c r="Z37" s="5">
        <f>Z38+Z39+Z40+Z41+Z43+Z44+Z45+Z47+Z49+Z50+Z51+Z52+Z55+Z56+Z58+Z59+Z48+Z62+Z54+Z53+Z61</f>
        <v>38807.300000000003</v>
      </c>
      <c r="AA37" s="5">
        <f>AA38+AA39+AA40+AA41+AA43+AA44+AA45+AA47+AA49+AA50+AA51+AA52+AA55+AA56+AA58+AA59+AA48+AA62+AA54+AA53+AA61</f>
        <v>0</v>
      </c>
      <c r="AB37" s="5">
        <f>AB38+AB39+AB40+AB41+AB43+AB44+AB45+AB47+AB49+AB50+AB51+AB52+AB55+AB56+AB58+AB59+AB48+AB62+AB54+AB53+AB61</f>
        <v>13312.5</v>
      </c>
      <c r="AC37" s="5">
        <f t="shared" ref="AC37:AQ37" si="9">AC38+AC39+AC40+AC41+AC43+AC44+AC45+AC47+AC49+AC50+AC51+AC52+AC55+AC56+AC58+AC59</f>
        <v>0</v>
      </c>
      <c r="AD37" s="5">
        <f t="shared" si="9"/>
        <v>0</v>
      </c>
      <c r="AE37" s="5">
        <f t="shared" si="9"/>
        <v>0</v>
      </c>
      <c r="AF37" s="5">
        <f t="shared" si="9"/>
        <v>0</v>
      </c>
      <c r="AG37" s="5">
        <f t="shared" si="9"/>
        <v>0</v>
      </c>
      <c r="AH37" s="5">
        <f t="shared" si="9"/>
        <v>0</v>
      </c>
      <c r="AI37" s="5">
        <f t="shared" si="9"/>
        <v>0</v>
      </c>
      <c r="AJ37" s="5">
        <f t="shared" si="9"/>
        <v>0</v>
      </c>
      <c r="AK37" s="5">
        <f t="shared" si="9"/>
        <v>0</v>
      </c>
      <c r="AL37" s="5">
        <f t="shared" si="9"/>
        <v>0</v>
      </c>
      <c r="AM37" s="5">
        <f t="shared" si="9"/>
        <v>0</v>
      </c>
      <c r="AN37" s="5">
        <f t="shared" si="9"/>
        <v>0</v>
      </c>
      <c r="AO37" s="5">
        <f t="shared" si="9"/>
        <v>0</v>
      </c>
      <c r="AP37" s="5">
        <f t="shared" si="9"/>
        <v>0</v>
      </c>
      <c r="AQ37" s="5">
        <f t="shared" si="9"/>
        <v>0</v>
      </c>
    </row>
    <row r="38" spans="1:43" ht="35.450000000000003" customHeight="1" thickBot="1">
      <c r="A38" s="72" t="s">
        <v>65</v>
      </c>
      <c r="B38" s="104"/>
      <c r="C38" s="105" t="s">
        <v>15</v>
      </c>
      <c r="D38" s="106" t="s">
        <v>16</v>
      </c>
      <c r="E38" s="106" t="s">
        <v>17</v>
      </c>
      <c r="F38" s="4" t="s">
        <v>66</v>
      </c>
      <c r="G38" s="84" t="s">
        <v>67</v>
      </c>
      <c r="H38" s="84" t="s">
        <v>68</v>
      </c>
      <c r="I38" s="107" t="s">
        <v>21</v>
      </c>
      <c r="J38" s="108" t="s">
        <v>69</v>
      </c>
      <c r="K38" s="109" t="s">
        <v>23</v>
      </c>
      <c r="L38" s="3"/>
      <c r="M38" s="87" t="s">
        <v>70</v>
      </c>
      <c r="N38" s="3">
        <f>P38+R38+T38+V38</f>
        <v>15762.8</v>
      </c>
      <c r="O38" s="3">
        <f t="shared" ref="O38:O64" si="10">+Q38+S38+U38+W38</f>
        <v>15304.1</v>
      </c>
      <c r="P38" s="3"/>
      <c r="Q38" s="3"/>
      <c r="R38" s="3">
        <v>15762.8</v>
      </c>
      <c r="S38" s="3">
        <v>15304.1</v>
      </c>
      <c r="T38" s="3"/>
      <c r="U38" s="3"/>
      <c r="V38" s="3"/>
      <c r="W38" s="3"/>
      <c r="X38" s="3">
        <f>Y38+Z38+AA38+AB38</f>
        <v>0</v>
      </c>
      <c r="Y38" s="3"/>
      <c r="Z38" s="3"/>
      <c r="AA38" s="3"/>
      <c r="AB38" s="3"/>
      <c r="AC38" s="3">
        <f>AD38+AE38+AF38+AG38</f>
        <v>0</v>
      </c>
      <c r="AD38" s="3"/>
      <c r="AE38" s="3"/>
      <c r="AF38" s="3"/>
      <c r="AG38" s="3"/>
      <c r="AH38" s="3">
        <f>AI38+AJ38+AL38</f>
        <v>0</v>
      </c>
      <c r="AI38" s="3"/>
      <c r="AJ38" s="3"/>
      <c r="AK38" s="3"/>
      <c r="AL38" s="3"/>
      <c r="AM38" s="3">
        <f>AN38+AO38+AQ38</f>
        <v>0</v>
      </c>
      <c r="AN38" s="3"/>
      <c r="AO38" s="3"/>
      <c r="AP38" s="3"/>
      <c r="AQ38" s="3"/>
    </row>
    <row r="39" spans="1:43" ht="35.450000000000003" customHeight="1" thickBot="1">
      <c r="A39" s="72" t="s">
        <v>65</v>
      </c>
      <c r="B39" s="104"/>
      <c r="C39" s="110"/>
      <c r="D39" s="111"/>
      <c r="E39" s="111"/>
      <c r="F39" s="4"/>
      <c r="G39" s="112"/>
      <c r="H39" s="112"/>
      <c r="I39" s="4"/>
      <c r="J39" s="3"/>
      <c r="K39" s="3"/>
      <c r="L39" s="3"/>
      <c r="M39" s="87" t="s">
        <v>71</v>
      </c>
      <c r="N39" s="3">
        <f>P39+R39+T39+V39</f>
        <v>0</v>
      </c>
      <c r="O39" s="3">
        <f t="shared" si="10"/>
        <v>0</v>
      </c>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row>
    <row r="40" spans="1:43" ht="35.450000000000003" customHeight="1" thickBot="1">
      <c r="A40" s="72" t="s">
        <v>65</v>
      </c>
      <c r="B40" s="104"/>
      <c r="C40" s="110"/>
      <c r="D40" s="111"/>
      <c r="E40" s="111"/>
      <c r="F40" s="113"/>
      <c r="G40" s="112"/>
      <c r="H40" s="112"/>
      <c r="I40" s="4"/>
      <c r="J40" s="3"/>
      <c r="K40" s="3"/>
      <c r="L40" s="3"/>
      <c r="M40" s="87" t="s">
        <v>72</v>
      </c>
      <c r="N40" s="3">
        <f>P40+R40+T40+V40</f>
        <v>0</v>
      </c>
      <c r="O40" s="3">
        <f t="shared" si="10"/>
        <v>0</v>
      </c>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row>
    <row r="41" spans="1:43" ht="35.450000000000003" customHeight="1" thickBot="1">
      <c r="A41" s="72" t="s">
        <v>65</v>
      </c>
      <c r="B41" s="104"/>
      <c r="C41" s="110"/>
      <c r="D41" s="111"/>
      <c r="E41" s="111"/>
      <c r="F41" s="113"/>
      <c r="G41" s="112"/>
      <c r="H41" s="112"/>
      <c r="I41" s="4"/>
      <c r="J41" s="3"/>
      <c r="K41" s="3"/>
      <c r="L41" s="3"/>
      <c r="M41" s="87" t="s">
        <v>73</v>
      </c>
      <c r="N41" s="3">
        <f>P41+R41+T41+V41</f>
        <v>0</v>
      </c>
      <c r="O41" s="3">
        <f t="shared" si="10"/>
        <v>0</v>
      </c>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row>
    <row r="42" spans="1:43" ht="35.450000000000003" customHeight="1" thickBot="1">
      <c r="A42" s="72" t="s">
        <v>65</v>
      </c>
      <c r="B42" s="104"/>
      <c r="C42" s="110"/>
      <c r="D42" s="111"/>
      <c r="E42" s="111"/>
      <c r="F42" s="113"/>
      <c r="G42" s="112"/>
      <c r="H42" s="112"/>
      <c r="I42" s="4"/>
      <c r="J42" s="3"/>
      <c r="K42" s="3"/>
      <c r="L42" s="3"/>
      <c r="M42" s="87" t="s">
        <v>74</v>
      </c>
      <c r="N42" s="3">
        <f>P42+R42+T42+V42</f>
        <v>599.49999999999989</v>
      </c>
      <c r="O42" s="3">
        <f t="shared" si="10"/>
        <v>599.5</v>
      </c>
      <c r="P42" s="3"/>
      <c r="Q42" s="3"/>
      <c r="R42" s="3"/>
      <c r="S42" s="3"/>
      <c r="T42" s="3"/>
      <c r="U42" s="3"/>
      <c r="V42" s="3">
        <f>1473.6-874.1</f>
        <v>599.49999999999989</v>
      </c>
      <c r="W42" s="3">
        <v>599.5</v>
      </c>
      <c r="X42" s="3"/>
      <c r="Y42" s="3"/>
      <c r="Z42" s="3"/>
      <c r="AA42" s="3"/>
      <c r="AB42" s="3"/>
      <c r="AC42" s="3"/>
      <c r="AD42" s="3"/>
      <c r="AE42" s="3"/>
      <c r="AF42" s="3"/>
      <c r="AG42" s="3"/>
      <c r="AH42" s="3"/>
      <c r="AI42" s="3"/>
      <c r="AJ42" s="3"/>
      <c r="AK42" s="3"/>
      <c r="AL42" s="3"/>
      <c r="AM42" s="3"/>
      <c r="AN42" s="3"/>
      <c r="AO42" s="3"/>
      <c r="AP42" s="3"/>
      <c r="AQ42" s="3"/>
    </row>
    <row r="43" spans="1:43" ht="35.450000000000003" customHeight="1" thickBot="1">
      <c r="A43" s="72" t="s">
        <v>65</v>
      </c>
      <c r="B43" s="104"/>
      <c r="C43" s="110"/>
      <c r="D43" s="111"/>
      <c r="E43" s="111"/>
      <c r="F43" s="113"/>
      <c r="G43" s="112"/>
      <c r="H43" s="112"/>
      <c r="I43" s="4"/>
      <c r="J43" s="3"/>
      <c r="K43" s="3"/>
      <c r="L43" s="3"/>
      <c r="M43" s="87" t="s">
        <v>75</v>
      </c>
      <c r="N43" s="3"/>
      <c r="O43" s="5">
        <f t="shared" si="10"/>
        <v>0</v>
      </c>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row>
    <row r="44" spans="1:43" ht="35.450000000000003" customHeight="1" thickBot="1">
      <c r="A44" s="72" t="s">
        <v>65</v>
      </c>
      <c r="B44" s="104"/>
      <c r="C44" s="110"/>
      <c r="D44" s="111"/>
      <c r="E44" s="111"/>
      <c r="F44" s="113"/>
      <c r="G44" s="112"/>
      <c r="H44" s="112"/>
      <c r="I44" s="114"/>
      <c r="J44" s="3"/>
      <c r="K44" s="3"/>
      <c r="L44" s="3"/>
      <c r="M44" s="87" t="s">
        <v>76</v>
      </c>
      <c r="N44" s="3">
        <f t="shared" ref="N44:N59" si="11">P44+R44+T44+V44</f>
        <v>1000</v>
      </c>
      <c r="O44" s="5">
        <f t="shared" si="10"/>
        <v>0</v>
      </c>
      <c r="P44" s="3"/>
      <c r="Q44" s="3"/>
      <c r="R44" s="3"/>
      <c r="S44" s="3"/>
      <c r="T44" s="3"/>
      <c r="U44" s="3"/>
      <c r="V44" s="3">
        <v>1000</v>
      </c>
      <c r="W44" s="3">
        <v>0</v>
      </c>
      <c r="X44" s="3">
        <f t="shared" ref="X44:X49" si="12">Y44+Z44+AA44+AB44</f>
        <v>0</v>
      </c>
      <c r="Y44" s="3"/>
      <c r="Z44" s="3"/>
      <c r="AA44" s="3"/>
      <c r="AB44" s="3"/>
      <c r="AC44" s="3">
        <f>AD44+AE44+AF44+AG44</f>
        <v>0</v>
      </c>
      <c r="AD44" s="3"/>
      <c r="AE44" s="3"/>
      <c r="AF44" s="3"/>
      <c r="AG44" s="3"/>
      <c r="AH44" s="3">
        <f>AI44+AJ44+AL44</f>
        <v>0</v>
      </c>
      <c r="AI44" s="3"/>
      <c r="AJ44" s="3"/>
      <c r="AK44" s="3"/>
      <c r="AL44" s="3"/>
      <c r="AM44" s="3">
        <f>AN44+AO44+AQ44</f>
        <v>0</v>
      </c>
      <c r="AN44" s="3"/>
      <c r="AO44" s="3"/>
      <c r="AP44" s="3"/>
      <c r="AQ44" s="3"/>
    </row>
    <row r="45" spans="1:43" ht="35.450000000000003" customHeight="1" thickBot="1">
      <c r="A45" s="72" t="s">
        <v>65</v>
      </c>
      <c r="B45" s="104"/>
      <c r="C45" s="110"/>
      <c r="D45" s="111"/>
      <c r="E45" s="111"/>
      <c r="F45" s="113"/>
      <c r="G45" s="112"/>
      <c r="H45" s="112"/>
      <c r="I45" s="114"/>
      <c r="J45" s="3"/>
      <c r="K45" s="3"/>
      <c r="L45" s="3"/>
      <c r="M45" s="87" t="s">
        <v>77</v>
      </c>
      <c r="N45" s="3">
        <f t="shared" si="11"/>
        <v>0</v>
      </c>
      <c r="O45" s="5">
        <f t="shared" si="10"/>
        <v>0</v>
      </c>
      <c r="P45" s="3"/>
      <c r="Q45" s="3"/>
      <c r="R45" s="3"/>
      <c r="S45" s="3"/>
      <c r="T45" s="3"/>
      <c r="U45" s="3"/>
      <c r="V45" s="3"/>
      <c r="W45" s="3"/>
      <c r="X45" s="3">
        <f t="shared" si="12"/>
        <v>0</v>
      </c>
      <c r="Y45" s="3"/>
      <c r="Z45" s="3"/>
      <c r="AA45" s="3"/>
      <c r="AB45" s="3"/>
      <c r="AC45" s="3"/>
      <c r="AD45" s="3"/>
      <c r="AE45" s="3"/>
      <c r="AF45" s="3"/>
      <c r="AG45" s="3"/>
      <c r="AH45" s="3"/>
      <c r="AI45" s="3"/>
      <c r="AJ45" s="3"/>
      <c r="AK45" s="3"/>
      <c r="AL45" s="3"/>
      <c r="AM45" s="3"/>
      <c r="AN45" s="3"/>
      <c r="AO45" s="3"/>
      <c r="AP45" s="3"/>
      <c r="AQ45" s="3"/>
    </row>
    <row r="46" spans="1:43" ht="35.450000000000003" customHeight="1" thickBot="1">
      <c r="A46" s="72" t="s">
        <v>65</v>
      </c>
      <c r="B46" s="104"/>
      <c r="C46" s="110"/>
      <c r="D46" s="111"/>
      <c r="E46" s="111"/>
      <c r="F46" s="113"/>
      <c r="G46" s="112"/>
      <c r="H46" s="112"/>
      <c r="I46" s="114"/>
      <c r="J46" s="3"/>
      <c r="K46" s="3"/>
      <c r="L46" s="3"/>
      <c r="M46" s="87" t="s">
        <v>78</v>
      </c>
      <c r="N46" s="3">
        <f t="shared" si="11"/>
        <v>0</v>
      </c>
      <c r="O46" s="5">
        <f t="shared" si="10"/>
        <v>0</v>
      </c>
      <c r="P46" s="3"/>
      <c r="Q46" s="3"/>
      <c r="R46" s="3"/>
      <c r="S46" s="3"/>
      <c r="T46" s="3"/>
      <c r="U46" s="3"/>
      <c r="V46" s="3"/>
      <c r="W46" s="3"/>
      <c r="X46" s="3">
        <f t="shared" si="12"/>
        <v>0</v>
      </c>
      <c r="Y46" s="3"/>
      <c r="Z46" s="3"/>
      <c r="AA46" s="3"/>
      <c r="AB46" s="3"/>
      <c r="AC46" s="3"/>
      <c r="AD46" s="3"/>
      <c r="AE46" s="3"/>
      <c r="AF46" s="3"/>
      <c r="AG46" s="3"/>
      <c r="AH46" s="3"/>
      <c r="AI46" s="3"/>
      <c r="AJ46" s="3"/>
      <c r="AK46" s="3"/>
      <c r="AL46" s="3"/>
      <c r="AM46" s="3"/>
      <c r="AN46" s="3"/>
      <c r="AO46" s="3"/>
      <c r="AP46" s="3"/>
      <c r="AQ46" s="3"/>
    </row>
    <row r="47" spans="1:43" ht="35.450000000000003" customHeight="1" thickBot="1">
      <c r="A47" s="72" t="s">
        <v>65</v>
      </c>
      <c r="B47" s="104"/>
      <c r="C47" s="110"/>
      <c r="D47" s="111"/>
      <c r="E47" s="111"/>
      <c r="F47" s="113"/>
      <c r="G47" s="112"/>
      <c r="H47" s="112"/>
      <c r="I47" s="114"/>
      <c r="J47" s="3"/>
      <c r="K47" s="3"/>
      <c r="L47" s="3"/>
      <c r="M47" s="87" t="s">
        <v>79</v>
      </c>
      <c r="N47" s="3">
        <f t="shared" si="11"/>
        <v>360.1</v>
      </c>
      <c r="O47" s="5">
        <f t="shared" si="10"/>
        <v>0</v>
      </c>
      <c r="P47" s="3"/>
      <c r="Q47" s="3"/>
      <c r="R47" s="3"/>
      <c r="S47" s="3"/>
      <c r="T47" s="3"/>
      <c r="U47" s="3"/>
      <c r="V47" s="3">
        <v>360.1</v>
      </c>
      <c r="W47" s="3">
        <v>0</v>
      </c>
      <c r="X47" s="3">
        <f t="shared" si="12"/>
        <v>0</v>
      </c>
      <c r="Y47" s="3"/>
      <c r="Z47" s="3"/>
      <c r="AA47" s="3"/>
      <c r="AB47" s="3">
        <f>1192.4-200-992.4</f>
        <v>0</v>
      </c>
      <c r="AC47" s="3"/>
      <c r="AD47" s="3"/>
      <c r="AE47" s="3"/>
      <c r="AF47" s="3"/>
      <c r="AG47" s="3"/>
      <c r="AH47" s="3"/>
      <c r="AI47" s="3"/>
      <c r="AJ47" s="3"/>
      <c r="AK47" s="3"/>
      <c r="AL47" s="3"/>
      <c r="AM47" s="3"/>
      <c r="AN47" s="3"/>
      <c r="AO47" s="3"/>
      <c r="AP47" s="3"/>
      <c r="AQ47" s="3"/>
    </row>
    <row r="48" spans="1:43" ht="35.450000000000003" customHeight="1" thickBot="1">
      <c r="A48" s="72" t="s">
        <v>65</v>
      </c>
      <c r="B48" s="104"/>
      <c r="C48" s="110"/>
      <c r="D48" s="111"/>
      <c r="E48" s="111"/>
      <c r="F48" s="113"/>
      <c r="G48" s="112"/>
      <c r="H48" s="112"/>
      <c r="I48" s="114"/>
      <c r="J48" s="3"/>
      <c r="K48" s="3"/>
      <c r="L48" s="3"/>
      <c r="M48" s="87" t="s">
        <v>80</v>
      </c>
      <c r="N48" s="3"/>
      <c r="O48" s="5"/>
      <c r="P48" s="3"/>
      <c r="Q48" s="3"/>
      <c r="R48" s="3"/>
      <c r="S48" s="3"/>
      <c r="T48" s="3"/>
      <c r="U48" s="3"/>
      <c r="V48" s="3"/>
      <c r="W48" s="3"/>
      <c r="X48" s="3">
        <f t="shared" si="12"/>
        <v>0</v>
      </c>
      <c r="Y48" s="3"/>
      <c r="Z48" s="3"/>
      <c r="AA48" s="3"/>
      <c r="AB48" s="3">
        <f>95-24.4-70.6</f>
        <v>0</v>
      </c>
      <c r="AC48" s="3"/>
      <c r="AD48" s="3"/>
      <c r="AE48" s="3"/>
      <c r="AF48" s="3"/>
      <c r="AG48" s="3"/>
      <c r="AH48" s="3"/>
      <c r="AI48" s="3"/>
      <c r="AJ48" s="3"/>
      <c r="AK48" s="3"/>
      <c r="AL48" s="3"/>
      <c r="AM48" s="3"/>
      <c r="AN48" s="3"/>
      <c r="AO48" s="3"/>
      <c r="AP48" s="3"/>
      <c r="AQ48" s="3"/>
    </row>
    <row r="49" spans="1:43" ht="35.450000000000003" customHeight="1" thickBot="1">
      <c r="A49" s="72" t="s">
        <v>65</v>
      </c>
      <c r="B49" s="104"/>
      <c r="C49" s="110"/>
      <c r="D49" s="111"/>
      <c r="E49" s="111"/>
      <c r="F49" s="107" t="s">
        <v>1284</v>
      </c>
      <c r="G49" s="107" t="s">
        <v>153</v>
      </c>
      <c r="H49" s="115">
        <v>45791</v>
      </c>
      <c r="I49" s="107" t="s">
        <v>1286</v>
      </c>
      <c r="J49" s="3" t="s">
        <v>153</v>
      </c>
      <c r="K49" s="87" t="s">
        <v>1285</v>
      </c>
      <c r="L49" s="87"/>
      <c r="M49" s="87" t="s">
        <v>81</v>
      </c>
      <c r="N49" s="3">
        <f t="shared" si="11"/>
        <v>191.5</v>
      </c>
      <c r="O49" s="3">
        <f t="shared" si="10"/>
        <v>185.9</v>
      </c>
      <c r="P49" s="3"/>
      <c r="Q49" s="3"/>
      <c r="R49" s="3"/>
      <c r="S49" s="3"/>
      <c r="T49" s="3"/>
      <c r="U49" s="3"/>
      <c r="V49" s="3">
        <v>191.5</v>
      </c>
      <c r="W49" s="3">
        <v>185.9</v>
      </c>
      <c r="X49" s="3">
        <f t="shared" si="12"/>
        <v>12122.5</v>
      </c>
      <c r="Y49" s="3"/>
      <c r="Z49" s="3"/>
      <c r="AA49" s="3"/>
      <c r="AB49" s="3">
        <f>24.4+12098.1-100+100</f>
        <v>12122.5</v>
      </c>
      <c r="AC49" s="3">
        <f>AD49+AE49+AF49+AG49</f>
        <v>0</v>
      </c>
      <c r="AD49" s="3"/>
      <c r="AE49" s="3"/>
      <c r="AF49" s="3"/>
      <c r="AG49" s="3"/>
      <c r="AH49" s="3">
        <f>AI49+AJ49+AL49</f>
        <v>0</v>
      </c>
      <c r="AI49" s="3"/>
      <c r="AJ49" s="3"/>
      <c r="AK49" s="3"/>
      <c r="AL49" s="3"/>
      <c r="AM49" s="3">
        <f>AN49+AO49+AQ49</f>
        <v>0</v>
      </c>
      <c r="AN49" s="3"/>
      <c r="AO49" s="3"/>
      <c r="AP49" s="3"/>
      <c r="AQ49" s="3"/>
    </row>
    <row r="50" spans="1:43" ht="35.450000000000003" customHeight="1" thickBot="1">
      <c r="A50" s="72" t="s">
        <v>65</v>
      </c>
      <c r="B50" s="104"/>
      <c r="C50" s="110"/>
      <c r="D50" s="111"/>
      <c r="E50" s="111"/>
      <c r="F50" s="113"/>
      <c r="G50" s="112"/>
      <c r="H50" s="112"/>
      <c r="I50" s="114"/>
      <c r="J50" s="3"/>
      <c r="K50" s="3"/>
      <c r="L50" s="3"/>
      <c r="M50" s="87" t="s">
        <v>82</v>
      </c>
      <c r="N50" s="3">
        <f t="shared" si="11"/>
        <v>0</v>
      </c>
      <c r="O50" s="5">
        <f t="shared" si="10"/>
        <v>0</v>
      </c>
      <c r="P50" s="3"/>
      <c r="Q50" s="3"/>
      <c r="R50" s="3"/>
      <c r="S50" s="3"/>
      <c r="T50" s="3"/>
      <c r="U50" s="3"/>
      <c r="V50" s="3"/>
      <c r="W50" s="3"/>
      <c r="X50" s="3">
        <f t="shared" ref="X50:X62" si="13">Y50+Z50+AA50+AB50</f>
        <v>0</v>
      </c>
      <c r="Y50" s="3"/>
      <c r="Z50" s="3"/>
      <c r="AA50" s="3"/>
      <c r="AB50" s="3"/>
      <c r="AC50" s="3"/>
      <c r="AD50" s="3"/>
      <c r="AE50" s="3"/>
      <c r="AF50" s="3"/>
      <c r="AG50" s="3"/>
      <c r="AH50" s="3"/>
      <c r="AI50" s="3"/>
      <c r="AJ50" s="3"/>
      <c r="AK50" s="3"/>
      <c r="AL50" s="3"/>
      <c r="AM50" s="3"/>
      <c r="AN50" s="3"/>
      <c r="AO50" s="3"/>
      <c r="AP50" s="3"/>
      <c r="AQ50" s="3"/>
    </row>
    <row r="51" spans="1:43" ht="35.450000000000003" customHeight="1" thickBot="1">
      <c r="A51" s="72" t="s">
        <v>65</v>
      </c>
      <c r="B51" s="104"/>
      <c r="C51" s="110"/>
      <c r="D51" s="111"/>
      <c r="E51" s="111"/>
      <c r="F51" s="113"/>
      <c r="G51" s="112"/>
      <c r="H51" s="112"/>
      <c r="I51" s="114"/>
      <c r="J51" s="3"/>
      <c r="K51" s="3"/>
      <c r="L51" s="3"/>
      <c r="M51" s="87" t="s">
        <v>83</v>
      </c>
      <c r="N51" s="3">
        <f t="shared" si="11"/>
        <v>0</v>
      </c>
      <c r="O51" s="5">
        <f t="shared" si="10"/>
        <v>0</v>
      </c>
      <c r="P51" s="3"/>
      <c r="Q51" s="3"/>
      <c r="R51" s="3"/>
      <c r="S51" s="3"/>
      <c r="T51" s="3"/>
      <c r="U51" s="3"/>
      <c r="V51" s="3"/>
      <c r="W51" s="3"/>
      <c r="X51" s="3">
        <f t="shared" si="13"/>
        <v>0</v>
      </c>
      <c r="Y51" s="3"/>
      <c r="Z51" s="3"/>
      <c r="AA51" s="3"/>
      <c r="AB51" s="3"/>
      <c r="AC51" s="3"/>
      <c r="AD51" s="3"/>
      <c r="AE51" s="3"/>
      <c r="AF51" s="3"/>
      <c r="AG51" s="3"/>
      <c r="AH51" s="3"/>
      <c r="AI51" s="3"/>
      <c r="AJ51" s="3"/>
      <c r="AK51" s="3"/>
      <c r="AL51" s="3"/>
      <c r="AM51" s="3"/>
      <c r="AN51" s="3"/>
      <c r="AO51" s="3"/>
      <c r="AP51" s="3"/>
      <c r="AQ51" s="3"/>
    </row>
    <row r="52" spans="1:43" ht="35.450000000000003" customHeight="1" thickBot="1">
      <c r="A52" s="72" t="s">
        <v>65</v>
      </c>
      <c r="B52" s="104"/>
      <c r="C52" s="110"/>
      <c r="D52" s="111"/>
      <c r="E52" s="111"/>
      <c r="F52" s="113"/>
      <c r="G52" s="112"/>
      <c r="H52" s="112"/>
      <c r="I52" s="114"/>
      <c r="J52" s="3"/>
      <c r="K52" s="3"/>
      <c r="L52" s="3"/>
      <c r="M52" s="87" t="s">
        <v>84</v>
      </c>
      <c r="N52" s="3">
        <f t="shared" si="11"/>
        <v>0</v>
      </c>
      <c r="O52" s="5">
        <f t="shared" si="10"/>
        <v>0</v>
      </c>
      <c r="P52" s="3"/>
      <c r="Q52" s="3"/>
      <c r="R52" s="3"/>
      <c r="S52" s="3"/>
      <c r="T52" s="3"/>
      <c r="U52" s="3"/>
      <c r="V52" s="3"/>
      <c r="W52" s="3"/>
      <c r="X52" s="3">
        <f t="shared" si="13"/>
        <v>0</v>
      </c>
      <c r="Y52" s="3"/>
      <c r="Z52" s="3"/>
      <c r="AA52" s="3"/>
      <c r="AB52" s="3"/>
      <c r="AC52" s="3"/>
      <c r="AD52" s="3"/>
      <c r="AE52" s="3"/>
      <c r="AF52" s="3"/>
      <c r="AG52" s="3"/>
      <c r="AH52" s="3"/>
      <c r="AI52" s="3"/>
      <c r="AJ52" s="3"/>
      <c r="AK52" s="3"/>
      <c r="AL52" s="3"/>
      <c r="AM52" s="3"/>
      <c r="AN52" s="3"/>
      <c r="AO52" s="3"/>
      <c r="AP52" s="3"/>
      <c r="AQ52" s="3"/>
    </row>
    <row r="53" spans="1:43" ht="35.450000000000003" customHeight="1" thickBot="1">
      <c r="A53" s="72" t="s">
        <v>65</v>
      </c>
      <c r="B53" s="104"/>
      <c r="C53" s="110"/>
      <c r="D53" s="111"/>
      <c r="E53" s="111"/>
      <c r="F53" s="113"/>
      <c r="G53" s="112"/>
      <c r="H53" s="112"/>
      <c r="I53" s="114"/>
      <c r="J53" s="3"/>
      <c r="K53" s="3"/>
      <c r="L53" s="3"/>
      <c r="M53" s="87" t="s">
        <v>85</v>
      </c>
      <c r="N53" s="3"/>
      <c r="O53" s="5"/>
      <c r="P53" s="3"/>
      <c r="Q53" s="3"/>
      <c r="R53" s="3"/>
      <c r="S53" s="3"/>
      <c r="T53" s="3"/>
      <c r="U53" s="3"/>
      <c r="V53" s="3"/>
      <c r="W53" s="3"/>
      <c r="X53" s="3">
        <f t="shared" si="13"/>
        <v>595</v>
      </c>
      <c r="Y53" s="3"/>
      <c r="Z53" s="3"/>
      <c r="AA53" s="3"/>
      <c r="AB53" s="3">
        <v>595</v>
      </c>
      <c r="AC53" s="3"/>
      <c r="AD53" s="3"/>
      <c r="AE53" s="3"/>
      <c r="AF53" s="3"/>
      <c r="AG53" s="3"/>
      <c r="AH53" s="3"/>
      <c r="AI53" s="3"/>
      <c r="AJ53" s="3"/>
      <c r="AK53" s="3"/>
      <c r="AL53" s="3"/>
      <c r="AM53" s="3"/>
      <c r="AN53" s="3"/>
      <c r="AO53" s="3"/>
      <c r="AP53" s="3"/>
      <c r="AQ53" s="3"/>
    </row>
    <row r="54" spans="1:43" ht="35.450000000000003" customHeight="1" thickBot="1">
      <c r="A54" s="72" t="s">
        <v>65</v>
      </c>
      <c r="B54" s="104"/>
      <c r="C54" s="110"/>
      <c r="D54" s="111"/>
      <c r="E54" s="111"/>
      <c r="F54" s="113"/>
      <c r="G54" s="112"/>
      <c r="H54" s="112"/>
      <c r="I54" s="114"/>
      <c r="J54" s="3"/>
      <c r="K54" s="3"/>
      <c r="L54" s="3"/>
      <c r="M54" s="87" t="s">
        <v>86</v>
      </c>
      <c r="N54" s="3"/>
      <c r="O54" s="5"/>
      <c r="P54" s="3"/>
      <c r="Q54" s="3"/>
      <c r="R54" s="3"/>
      <c r="S54" s="3"/>
      <c r="T54" s="3"/>
      <c r="U54" s="3"/>
      <c r="V54" s="3"/>
      <c r="W54" s="3"/>
      <c r="X54" s="3">
        <f t="shared" si="13"/>
        <v>39002.300000000003</v>
      </c>
      <c r="Y54" s="3"/>
      <c r="Z54" s="3">
        <v>38807.300000000003</v>
      </c>
      <c r="AA54" s="3"/>
      <c r="AB54" s="3">
        <v>195</v>
      </c>
      <c r="AC54" s="3"/>
      <c r="AD54" s="3"/>
      <c r="AE54" s="3"/>
      <c r="AF54" s="3"/>
      <c r="AG54" s="3"/>
      <c r="AH54" s="3"/>
      <c r="AI54" s="3"/>
      <c r="AJ54" s="3"/>
      <c r="AK54" s="3"/>
      <c r="AL54" s="3"/>
      <c r="AM54" s="3"/>
      <c r="AN54" s="3"/>
      <c r="AO54" s="3"/>
      <c r="AP54" s="3"/>
      <c r="AQ54" s="3"/>
    </row>
    <row r="55" spans="1:43" ht="35.450000000000003" customHeight="1" thickBot="1">
      <c r="A55" s="72" t="s">
        <v>65</v>
      </c>
      <c r="B55" s="104"/>
      <c r="C55" s="110"/>
      <c r="D55" s="111"/>
      <c r="E55" s="111"/>
      <c r="F55" s="113"/>
      <c r="G55" s="112"/>
      <c r="H55" s="112"/>
      <c r="I55" s="114"/>
      <c r="J55" s="3"/>
      <c r="K55" s="3"/>
      <c r="L55" s="3"/>
      <c r="M55" s="87" t="s">
        <v>87</v>
      </c>
      <c r="N55" s="3">
        <f t="shared" si="11"/>
        <v>0</v>
      </c>
      <c r="O55" s="5">
        <f t="shared" si="10"/>
        <v>0</v>
      </c>
      <c r="P55" s="3"/>
      <c r="Q55" s="3"/>
      <c r="R55" s="3"/>
      <c r="S55" s="3"/>
      <c r="T55" s="3"/>
      <c r="U55" s="3"/>
      <c r="V55" s="3"/>
      <c r="W55" s="3"/>
      <c r="X55" s="3">
        <f t="shared" si="13"/>
        <v>0</v>
      </c>
      <c r="Y55" s="3"/>
      <c r="Z55" s="3"/>
      <c r="AA55" s="3"/>
      <c r="AB55" s="3"/>
      <c r="AC55" s="3"/>
      <c r="AD55" s="3"/>
      <c r="AE55" s="3"/>
      <c r="AF55" s="3"/>
      <c r="AG55" s="3"/>
      <c r="AH55" s="3"/>
      <c r="AI55" s="3"/>
      <c r="AJ55" s="3"/>
      <c r="AK55" s="3"/>
      <c r="AL55" s="3"/>
      <c r="AM55" s="3"/>
      <c r="AN55" s="3"/>
      <c r="AO55" s="3"/>
      <c r="AP55" s="3"/>
      <c r="AQ55" s="3"/>
    </row>
    <row r="56" spans="1:43" ht="35.450000000000003" customHeight="1" thickBot="1">
      <c r="A56" s="72" t="s">
        <v>65</v>
      </c>
      <c r="B56" s="104"/>
      <c r="C56" s="110"/>
      <c r="D56" s="111"/>
      <c r="E56" s="111"/>
      <c r="F56" s="113"/>
      <c r="G56" s="112"/>
      <c r="H56" s="112"/>
      <c r="I56" s="114"/>
      <c r="J56" s="3"/>
      <c r="K56" s="3"/>
      <c r="L56" s="3"/>
      <c r="M56" s="87" t="s">
        <v>88</v>
      </c>
      <c r="N56" s="3">
        <f t="shared" si="11"/>
        <v>0</v>
      </c>
      <c r="O56" s="5">
        <f t="shared" si="10"/>
        <v>0</v>
      </c>
      <c r="P56" s="3"/>
      <c r="Q56" s="3"/>
      <c r="R56" s="3"/>
      <c r="S56" s="3"/>
      <c r="T56" s="3"/>
      <c r="U56" s="3"/>
      <c r="V56" s="3"/>
      <c r="W56" s="3"/>
      <c r="X56" s="3">
        <f t="shared" si="13"/>
        <v>0</v>
      </c>
      <c r="Y56" s="3"/>
      <c r="Z56" s="3"/>
      <c r="AA56" s="3"/>
      <c r="AB56" s="3"/>
      <c r="AC56" s="3"/>
      <c r="AD56" s="3"/>
      <c r="AE56" s="3"/>
      <c r="AF56" s="3"/>
      <c r="AG56" s="3"/>
      <c r="AH56" s="3"/>
      <c r="AI56" s="3"/>
      <c r="AJ56" s="3"/>
      <c r="AK56" s="3"/>
      <c r="AL56" s="3"/>
      <c r="AM56" s="3"/>
      <c r="AN56" s="3"/>
      <c r="AO56" s="3"/>
      <c r="AP56" s="3"/>
      <c r="AQ56" s="3"/>
    </row>
    <row r="57" spans="1:43" ht="35.450000000000003" customHeight="1" thickBot="1">
      <c r="A57" s="72" t="s">
        <v>65</v>
      </c>
      <c r="B57" s="104"/>
      <c r="C57" s="110"/>
      <c r="D57" s="111"/>
      <c r="E57" s="111"/>
      <c r="F57" s="113"/>
      <c r="G57" s="112"/>
      <c r="H57" s="112"/>
      <c r="I57" s="114"/>
      <c r="J57" s="3"/>
      <c r="K57" s="3"/>
      <c r="L57" s="3"/>
      <c r="M57" s="87" t="s">
        <v>89</v>
      </c>
      <c r="N57" s="3">
        <f t="shared" si="11"/>
        <v>0</v>
      </c>
      <c r="O57" s="5">
        <f t="shared" si="10"/>
        <v>0</v>
      </c>
      <c r="P57" s="3"/>
      <c r="Q57" s="3"/>
      <c r="R57" s="3"/>
      <c r="S57" s="3"/>
      <c r="T57" s="3"/>
      <c r="U57" s="3"/>
      <c r="V57" s="3"/>
      <c r="W57" s="3"/>
      <c r="X57" s="3">
        <f t="shared" si="13"/>
        <v>0</v>
      </c>
      <c r="Y57" s="3"/>
      <c r="Z57" s="3"/>
      <c r="AA57" s="3"/>
      <c r="AB57" s="3"/>
      <c r="AC57" s="3"/>
      <c r="AD57" s="3"/>
      <c r="AE57" s="3"/>
      <c r="AF57" s="3"/>
      <c r="AG57" s="3"/>
      <c r="AH57" s="3"/>
      <c r="AI57" s="3"/>
      <c r="AJ57" s="3"/>
      <c r="AK57" s="3"/>
      <c r="AL57" s="3"/>
      <c r="AM57" s="3"/>
      <c r="AN57" s="3"/>
      <c r="AO57" s="3"/>
      <c r="AP57" s="3"/>
      <c r="AQ57" s="3"/>
    </row>
    <row r="58" spans="1:43" ht="35.450000000000003" customHeight="1" thickBot="1">
      <c r="A58" s="72" t="s">
        <v>65</v>
      </c>
      <c r="B58" s="104"/>
      <c r="C58" s="116"/>
      <c r="D58" s="117"/>
      <c r="E58" s="117"/>
      <c r="F58" s="113"/>
      <c r="G58" s="112"/>
      <c r="H58" s="112"/>
      <c r="I58" s="114"/>
      <c r="J58" s="3"/>
      <c r="K58" s="3"/>
      <c r="L58" s="3"/>
      <c r="M58" s="87" t="s">
        <v>90</v>
      </c>
      <c r="N58" s="3">
        <f t="shared" si="11"/>
        <v>0</v>
      </c>
      <c r="O58" s="5">
        <f t="shared" si="10"/>
        <v>0</v>
      </c>
      <c r="P58" s="3"/>
      <c r="Q58" s="3"/>
      <c r="R58" s="3"/>
      <c r="S58" s="3"/>
      <c r="T58" s="3"/>
      <c r="U58" s="3"/>
      <c r="V58" s="3"/>
      <c r="W58" s="3"/>
      <c r="X58" s="3">
        <f t="shared" si="13"/>
        <v>0</v>
      </c>
      <c r="Y58" s="3"/>
      <c r="Z58" s="3"/>
      <c r="AA58" s="3"/>
      <c r="AB58" s="3"/>
      <c r="AC58" s="3"/>
      <c r="AD58" s="3"/>
      <c r="AE58" s="3"/>
      <c r="AF58" s="3"/>
      <c r="AG58" s="3"/>
      <c r="AH58" s="3"/>
      <c r="AI58" s="3"/>
      <c r="AJ58" s="3"/>
      <c r="AK58" s="3"/>
      <c r="AL58" s="3"/>
      <c r="AM58" s="3"/>
      <c r="AN58" s="3"/>
      <c r="AO58" s="3"/>
      <c r="AP58" s="3"/>
      <c r="AQ58" s="3"/>
    </row>
    <row r="59" spans="1:43" ht="35.450000000000003" customHeight="1" thickBot="1">
      <c r="A59" s="72" t="s">
        <v>30</v>
      </c>
      <c r="B59" s="80"/>
      <c r="C59" s="118" t="s">
        <v>91</v>
      </c>
      <c r="D59" s="118" t="s">
        <v>92</v>
      </c>
      <c r="E59" s="118" t="s">
        <v>93</v>
      </c>
      <c r="F59" s="113"/>
      <c r="G59" s="112"/>
      <c r="H59" s="112"/>
      <c r="I59" s="119"/>
      <c r="J59" s="3"/>
      <c r="K59" s="3"/>
      <c r="L59" s="3"/>
      <c r="M59" s="87" t="s">
        <v>94</v>
      </c>
      <c r="N59" s="3">
        <f t="shared" si="11"/>
        <v>200</v>
      </c>
      <c r="O59" s="5">
        <f t="shared" si="10"/>
        <v>0</v>
      </c>
      <c r="P59" s="3"/>
      <c r="Q59" s="3"/>
      <c r="R59" s="3"/>
      <c r="S59" s="3"/>
      <c r="T59" s="3"/>
      <c r="U59" s="3"/>
      <c r="V59" s="3">
        <v>200</v>
      </c>
      <c r="W59" s="3">
        <v>0</v>
      </c>
      <c r="X59" s="3">
        <f t="shared" si="13"/>
        <v>200</v>
      </c>
      <c r="Y59" s="3"/>
      <c r="Z59" s="3"/>
      <c r="AA59" s="3"/>
      <c r="AB59" s="3">
        <v>200</v>
      </c>
      <c r="AC59" s="3"/>
      <c r="AD59" s="3"/>
      <c r="AE59" s="3"/>
      <c r="AF59" s="3"/>
      <c r="AG59" s="3"/>
      <c r="AH59" s="3"/>
      <c r="AI59" s="3"/>
      <c r="AJ59" s="3"/>
      <c r="AK59" s="3"/>
      <c r="AL59" s="3"/>
      <c r="AM59" s="3"/>
      <c r="AN59" s="3"/>
      <c r="AO59" s="3"/>
      <c r="AP59" s="3"/>
      <c r="AQ59" s="3"/>
    </row>
    <row r="60" spans="1:43" ht="35.450000000000003" customHeight="1" thickBot="1">
      <c r="A60" s="72" t="s">
        <v>30</v>
      </c>
      <c r="B60" s="80"/>
      <c r="C60" s="120"/>
      <c r="D60" s="3"/>
      <c r="E60" s="3"/>
      <c r="F60" s="113"/>
      <c r="G60" s="112"/>
      <c r="H60" s="112"/>
      <c r="I60" s="119"/>
      <c r="J60" s="3"/>
      <c r="K60" s="3"/>
      <c r="L60" s="3"/>
      <c r="M60" s="87" t="s">
        <v>95</v>
      </c>
      <c r="N60" s="3"/>
      <c r="O60" s="5">
        <f t="shared" si="10"/>
        <v>0</v>
      </c>
      <c r="P60" s="3"/>
      <c r="Q60" s="3"/>
      <c r="R60" s="3"/>
      <c r="S60" s="3"/>
      <c r="T60" s="3"/>
      <c r="U60" s="3"/>
      <c r="V60" s="3"/>
      <c r="W60" s="3"/>
      <c r="X60" s="3">
        <f t="shared" si="13"/>
        <v>0</v>
      </c>
      <c r="Y60" s="3"/>
      <c r="Z60" s="3"/>
      <c r="AA60" s="3"/>
      <c r="AB60" s="3"/>
      <c r="AC60" s="3"/>
      <c r="AD60" s="3"/>
      <c r="AE60" s="3"/>
      <c r="AF60" s="3"/>
      <c r="AG60" s="3"/>
      <c r="AH60" s="3"/>
      <c r="AI60" s="3"/>
      <c r="AJ60" s="3"/>
      <c r="AK60" s="3"/>
      <c r="AL60" s="3"/>
      <c r="AM60" s="3"/>
      <c r="AN60" s="3"/>
      <c r="AO60" s="3"/>
      <c r="AP60" s="3"/>
      <c r="AQ60" s="3"/>
    </row>
    <row r="61" spans="1:43" ht="35.450000000000003" customHeight="1" thickBot="1">
      <c r="A61" s="72" t="s">
        <v>30</v>
      </c>
      <c r="B61" s="80"/>
      <c r="C61" s="120"/>
      <c r="D61" s="3"/>
      <c r="E61" s="3"/>
      <c r="F61" s="113"/>
      <c r="G61" s="112"/>
      <c r="H61" s="112"/>
      <c r="I61" s="119"/>
      <c r="J61" s="3"/>
      <c r="K61" s="3"/>
      <c r="L61" s="3"/>
      <c r="M61" s="87" t="s">
        <v>96</v>
      </c>
      <c r="N61" s="3"/>
      <c r="O61" s="5"/>
      <c r="P61" s="3"/>
      <c r="Q61" s="3"/>
      <c r="R61" s="3"/>
      <c r="S61" s="3"/>
      <c r="T61" s="3"/>
      <c r="U61" s="3"/>
      <c r="V61" s="3"/>
      <c r="W61" s="3"/>
      <c r="X61" s="3">
        <f t="shared" si="13"/>
        <v>200</v>
      </c>
      <c r="Y61" s="3"/>
      <c r="Z61" s="3"/>
      <c r="AA61" s="3"/>
      <c r="AB61" s="3">
        <v>200</v>
      </c>
      <c r="AC61" s="3"/>
      <c r="AD61" s="3"/>
      <c r="AE61" s="3"/>
      <c r="AF61" s="3"/>
      <c r="AG61" s="3"/>
      <c r="AH61" s="3"/>
      <c r="AI61" s="3"/>
      <c r="AJ61" s="3"/>
      <c r="AK61" s="3"/>
      <c r="AL61" s="3"/>
      <c r="AM61" s="3"/>
      <c r="AN61" s="3"/>
      <c r="AO61" s="3"/>
      <c r="AP61" s="3"/>
      <c r="AQ61" s="3"/>
    </row>
    <row r="62" spans="1:43" ht="35.450000000000003" customHeight="1" thickBot="1">
      <c r="A62" s="72" t="s">
        <v>30</v>
      </c>
      <c r="B62" s="80"/>
      <c r="C62" s="120"/>
      <c r="D62" s="3"/>
      <c r="E62" s="3"/>
      <c r="F62" s="113"/>
      <c r="G62" s="112"/>
      <c r="H62" s="112"/>
      <c r="I62" s="119"/>
      <c r="J62" s="3"/>
      <c r="K62" s="3"/>
      <c r="L62" s="3"/>
      <c r="M62" s="87" t="s">
        <v>97</v>
      </c>
      <c r="N62" s="3"/>
      <c r="O62" s="5"/>
      <c r="P62" s="3"/>
      <c r="Q62" s="3"/>
      <c r="R62" s="3"/>
      <c r="S62" s="3"/>
      <c r="T62" s="3"/>
      <c r="U62" s="3"/>
      <c r="V62" s="3"/>
      <c r="W62" s="3"/>
      <c r="X62" s="3">
        <f t="shared" si="13"/>
        <v>0</v>
      </c>
      <c r="Y62" s="3"/>
      <c r="Z62" s="3"/>
      <c r="AA62" s="3"/>
      <c r="AB62" s="3">
        <f>500-400-100</f>
        <v>0</v>
      </c>
      <c r="AC62" s="3"/>
      <c r="AD62" s="3"/>
      <c r="AE62" s="3"/>
      <c r="AF62" s="3"/>
      <c r="AG62" s="3"/>
      <c r="AH62" s="3"/>
      <c r="AI62" s="3"/>
      <c r="AJ62" s="3"/>
      <c r="AK62" s="3"/>
      <c r="AL62" s="3"/>
      <c r="AM62" s="3"/>
      <c r="AN62" s="3"/>
      <c r="AO62" s="3"/>
      <c r="AP62" s="3"/>
      <c r="AQ62" s="3"/>
    </row>
    <row r="63" spans="1:43" ht="35.450000000000003" customHeight="1" thickBot="1">
      <c r="A63" s="72" t="s">
        <v>98</v>
      </c>
      <c r="B63" s="80"/>
      <c r="C63" s="81"/>
      <c r="D63" s="121"/>
      <c r="E63" s="122"/>
      <c r="F63" s="113"/>
      <c r="G63" s="112"/>
      <c r="H63" s="112"/>
      <c r="I63" s="119"/>
      <c r="J63" s="3"/>
      <c r="K63" s="3"/>
      <c r="L63" s="3"/>
      <c r="M63" s="87" t="s">
        <v>99</v>
      </c>
      <c r="N63" s="3"/>
      <c r="O63" s="5">
        <f t="shared" si="10"/>
        <v>0</v>
      </c>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row>
    <row r="64" spans="1:43" ht="35.450000000000003" customHeight="1" thickBot="1">
      <c r="A64" s="72" t="s">
        <v>98</v>
      </c>
      <c r="B64" s="80"/>
      <c r="C64" s="123"/>
      <c r="D64" s="124"/>
      <c r="E64" s="125"/>
      <c r="F64" s="113"/>
      <c r="G64" s="112"/>
      <c r="H64" s="112"/>
      <c r="I64" s="119"/>
      <c r="J64" s="3"/>
      <c r="K64" s="3"/>
      <c r="L64" s="3"/>
      <c r="M64" s="87" t="s">
        <v>100</v>
      </c>
      <c r="N64" s="3"/>
      <c r="O64" s="5">
        <f t="shared" si="10"/>
        <v>0</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row>
    <row r="65" spans="1:43" ht="35.450000000000003" customHeight="1" thickBot="1">
      <c r="A65" s="76" t="s">
        <v>101</v>
      </c>
      <c r="B65" s="77">
        <v>2507</v>
      </c>
      <c r="C65" s="78"/>
      <c r="D65" s="5"/>
      <c r="E65" s="5"/>
      <c r="F65" s="5"/>
      <c r="G65" s="5"/>
      <c r="H65" s="5"/>
      <c r="I65" s="5"/>
      <c r="J65" s="5"/>
      <c r="K65" s="5"/>
      <c r="L65" s="5">
        <v>3</v>
      </c>
      <c r="M65" s="5"/>
      <c r="N65" s="126">
        <f t="shared" ref="N65:W65" si="14">N68+N69+N70+N76+N77+N79+N85+N86+N87+N92+N93+N96+N98+N99+N100+N101+N102+N103+N104+N75+N78+N94+N88+N66+N67+N73+N83+N84+N95+N97+N105+N106+N91+N71+N72+N74+N81</f>
        <v>189209.7</v>
      </c>
      <c r="O65" s="126">
        <f t="shared" si="14"/>
        <v>147978.79999999999</v>
      </c>
      <c r="P65" s="126">
        <f t="shared" si="14"/>
        <v>0</v>
      </c>
      <c r="Q65" s="126">
        <f t="shared" si="14"/>
        <v>0</v>
      </c>
      <c r="R65" s="126">
        <f t="shared" si="14"/>
        <v>137677</v>
      </c>
      <c r="S65" s="126">
        <f t="shared" si="14"/>
        <v>99438.2</v>
      </c>
      <c r="T65" s="126">
        <f t="shared" si="14"/>
        <v>0</v>
      </c>
      <c r="U65" s="126">
        <f t="shared" si="14"/>
        <v>0</v>
      </c>
      <c r="V65" s="126">
        <f t="shared" si="14"/>
        <v>51532.700000000004</v>
      </c>
      <c r="W65" s="126">
        <f t="shared" si="14"/>
        <v>48540.600000000006</v>
      </c>
      <c r="X65" s="126">
        <f>X68+X69+X70+X76+X77+X79+X85+X86+X87+X92+X93+X96+X98+X99+X100+X101+X102+X103+X104+X75+X78+X94+X88+X66+X67+X73+X83+X84+X95+X97+X105+X106+X91+X81+X90+X89+X82</f>
        <v>239400.8</v>
      </c>
      <c r="Y65" s="126">
        <f>Y68+Y69+Y70+Y76+Y77+Y79+Y85+Y86+Y87+Y92+Y93+Y96+Y98+Y99+Y100+Y101+Y102+Y103+Y104+Y75+Y78+Y94+Y88+Y66+Y67+Y73+Y83+Y84+Y95+Y97+Y105+Y106+Y91+Y81+Y90+Y89+Y82</f>
        <v>0</v>
      </c>
      <c r="Z65" s="126">
        <f>Z68+Z69+Z70+Z76+Z77+Z79+Z85+Z86+Z87+Z92+Z93+Z96+Z98+Z99+Z100+Z101+Z102+Z103+Z104+Z75+Z78+Z94+Z88+Z66+Z67+Z73+Z83+Z84+Z95+Z97+Z105+Z106+Z91+Z81+Z90+Z89+Z82</f>
        <v>187614.2</v>
      </c>
      <c r="AA65" s="126">
        <f>AA68+AA69+AA70+AA76+AA77+AA79+AA85+AA86+AA87+AA92+AA93+AA96+AA98+AA99+AA100+AA101+AA102+AA103+AA104+AA75+AA78+AA94+AA88+AA66+AA67+AA73+AA83+AA84+AA95+AA97+AA105+AA106+AA91+AA81+AA90+AA89+AA82</f>
        <v>0</v>
      </c>
      <c r="AB65" s="126">
        <f>AB68+AB69+AB70+AB76+AB77+AB79+AB85+AB86+AB87+AB92+AB93+AB96+AB98+AB99+AB100+AB101+AB102+AB103+AB104+AB75+AB78+AB94+AB88+AB66+AB67+AB73+AB83+AB84+AB95+AB97+AB105+AB106+AB91+AB81+AB90+AB89+AB82</f>
        <v>51786.600000000006</v>
      </c>
      <c r="AC65" s="126">
        <f t="shared" ref="AC65:AQ65" si="15">AC68+AC69+AC70+AC76+AC77+AC79+AC85+AC86+AC87+AC92+AC93+AC96+AC98+AC99+AC100+AC101+AC102+AC103+AC104+AC75+AC78+AC94+AC88+AC66+AC67+AC73+AC83+AC84+AC95+AC97+AC105+AC106+AC91+AC81+AC90+AC89</f>
        <v>103495.4</v>
      </c>
      <c r="AD65" s="126">
        <f t="shared" si="15"/>
        <v>0</v>
      </c>
      <c r="AE65" s="126">
        <f t="shared" si="15"/>
        <v>67133.2</v>
      </c>
      <c r="AF65" s="126">
        <f t="shared" si="15"/>
        <v>0</v>
      </c>
      <c r="AG65" s="126">
        <f t="shared" si="15"/>
        <v>36362.200000000004</v>
      </c>
      <c r="AH65" s="126">
        <f t="shared" si="15"/>
        <v>36024.800000000003</v>
      </c>
      <c r="AI65" s="126">
        <f t="shared" si="15"/>
        <v>0</v>
      </c>
      <c r="AJ65" s="126">
        <f t="shared" si="15"/>
        <v>0</v>
      </c>
      <c r="AK65" s="126">
        <f t="shared" si="15"/>
        <v>0</v>
      </c>
      <c r="AL65" s="126">
        <f t="shared" si="15"/>
        <v>36024.800000000003</v>
      </c>
      <c r="AM65" s="126">
        <f t="shared" si="15"/>
        <v>36024.800000000003</v>
      </c>
      <c r="AN65" s="126">
        <f t="shared" si="15"/>
        <v>0</v>
      </c>
      <c r="AO65" s="126">
        <f t="shared" si="15"/>
        <v>0</v>
      </c>
      <c r="AP65" s="126">
        <f t="shared" si="15"/>
        <v>0</v>
      </c>
      <c r="AQ65" s="126">
        <f t="shared" si="15"/>
        <v>36024.800000000003</v>
      </c>
    </row>
    <row r="66" spans="1:43" ht="35.450000000000003" customHeight="1" thickBot="1">
      <c r="A66" s="72" t="s">
        <v>98</v>
      </c>
      <c r="B66" s="104"/>
      <c r="C66" s="84" t="s">
        <v>102</v>
      </c>
      <c r="D66" s="84" t="s">
        <v>103</v>
      </c>
      <c r="E66" s="84" t="s">
        <v>104</v>
      </c>
      <c r="F66" s="84" t="s">
        <v>105</v>
      </c>
      <c r="G66" s="84" t="s">
        <v>19</v>
      </c>
      <c r="H66" s="84" t="s">
        <v>106</v>
      </c>
      <c r="I66" s="107" t="s">
        <v>21</v>
      </c>
      <c r="J66" s="107" t="s">
        <v>107</v>
      </c>
      <c r="K66" s="109" t="s">
        <v>23</v>
      </c>
      <c r="L66" s="3"/>
      <c r="M66" s="87" t="s">
        <v>108</v>
      </c>
      <c r="N66" s="127">
        <f>P66+R66+T66+V66</f>
        <v>90000</v>
      </c>
      <c r="O66" s="128">
        <f>Q66+S66+U66+W66</f>
        <v>51761.2</v>
      </c>
      <c r="P66" s="127"/>
      <c r="Q66" s="127"/>
      <c r="R66" s="127">
        <f>50000+40000</f>
        <v>90000</v>
      </c>
      <c r="S66" s="127">
        <v>51761.2</v>
      </c>
      <c r="T66" s="127"/>
      <c r="U66" s="127"/>
      <c r="V66" s="127"/>
      <c r="W66" s="127"/>
      <c r="X66" s="127">
        <f>Y66+Z66+AA66+AB66</f>
        <v>72518.399999999994</v>
      </c>
      <c r="Y66" s="127"/>
      <c r="Z66" s="127">
        <f>44719+27500</f>
        <v>72219</v>
      </c>
      <c r="AA66" s="127"/>
      <c r="AB66" s="127">
        <v>299.39999999999998</v>
      </c>
      <c r="AC66" s="127">
        <f>AD66+AE66+AF66+AG66</f>
        <v>185.4</v>
      </c>
      <c r="AD66" s="127"/>
      <c r="AE66" s="127"/>
      <c r="AF66" s="127"/>
      <c r="AG66" s="127">
        <v>185.4</v>
      </c>
      <c r="AH66" s="127">
        <f>AI66+AJ66+AK66+AL66</f>
        <v>185.4</v>
      </c>
      <c r="AI66" s="127"/>
      <c r="AJ66" s="127"/>
      <c r="AK66" s="127"/>
      <c r="AL66" s="127">
        <v>185.4</v>
      </c>
      <c r="AM66" s="127">
        <f>AN66+AO66+AP66+AQ66</f>
        <v>185.4</v>
      </c>
      <c r="AN66" s="127"/>
      <c r="AO66" s="127"/>
      <c r="AP66" s="127"/>
      <c r="AQ66" s="127">
        <v>185.4</v>
      </c>
    </row>
    <row r="67" spans="1:43" ht="35.450000000000003" customHeight="1" thickBot="1">
      <c r="A67" s="72" t="s">
        <v>98</v>
      </c>
      <c r="B67" s="80"/>
      <c r="C67" s="129"/>
      <c r="D67" s="130"/>
      <c r="E67" s="130"/>
      <c r="F67" s="131" t="s">
        <v>1287</v>
      </c>
      <c r="G67" s="131" t="s">
        <v>153</v>
      </c>
      <c r="H67" s="131" t="s">
        <v>1288</v>
      </c>
      <c r="I67" s="132" t="s">
        <v>1289</v>
      </c>
      <c r="J67" s="132" t="s">
        <v>1290</v>
      </c>
      <c r="K67" s="133" t="s">
        <v>1291</v>
      </c>
      <c r="L67" s="131"/>
      <c r="M67" s="96" t="s">
        <v>109</v>
      </c>
      <c r="N67" s="127">
        <f>P67+R67+T67+V67</f>
        <v>185.4</v>
      </c>
      <c r="O67" s="128">
        <f t="shared" ref="O67:O106" si="16">Q67+S67+U67+W67</f>
        <v>108.89999999999999</v>
      </c>
      <c r="P67" s="3"/>
      <c r="Q67" s="3"/>
      <c r="R67" s="3"/>
      <c r="S67" s="3"/>
      <c r="T67" s="3"/>
      <c r="U67" s="3"/>
      <c r="V67" s="3">
        <f>105.2+80.2</f>
        <v>185.4</v>
      </c>
      <c r="W67" s="3">
        <f>108.8+0.1</f>
        <v>108.89999999999999</v>
      </c>
      <c r="X67" s="127">
        <f t="shared" ref="X67:X90" si="17">Y67+Z67+AA67+AB67</f>
        <v>0</v>
      </c>
      <c r="Y67" s="3"/>
      <c r="Z67" s="3"/>
      <c r="AA67" s="3"/>
      <c r="AB67" s="3"/>
      <c r="AC67" s="127">
        <f>AD67+AE67+AF67+AG67</f>
        <v>0</v>
      </c>
      <c r="AD67" s="3"/>
      <c r="AE67" s="3"/>
      <c r="AF67" s="3"/>
      <c r="AG67" s="3"/>
      <c r="AH67" s="127">
        <f t="shared" ref="AH67:AH106" si="18">AI67+AJ67+AK67+AL67</f>
        <v>0</v>
      </c>
      <c r="AI67" s="3"/>
      <c r="AJ67" s="3"/>
      <c r="AK67" s="3"/>
      <c r="AL67" s="3"/>
      <c r="AM67" s="127">
        <f t="shared" ref="AM67:AM106" si="19">AN67+AO67+AP67+AQ67</f>
        <v>0</v>
      </c>
      <c r="AN67" s="3"/>
      <c r="AO67" s="3"/>
      <c r="AP67" s="3"/>
      <c r="AQ67" s="3"/>
    </row>
    <row r="68" spans="1:43" ht="35.450000000000003" customHeight="1" thickBot="1">
      <c r="A68" s="72" t="s">
        <v>65</v>
      </c>
      <c r="B68" s="104"/>
      <c r="C68" s="134" t="s">
        <v>15</v>
      </c>
      <c r="D68" s="135" t="s">
        <v>110</v>
      </c>
      <c r="E68" s="135" t="s">
        <v>111</v>
      </c>
      <c r="F68" s="3"/>
      <c r="G68" s="3"/>
      <c r="H68" s="3"/>
      <c r="I68" s="4"/>
      <c r="J68" s="3"/>
      <c r="K68" s="3"/>
      <c r="L68" s="3"/>
      <c r="M68" s="87" t="s">
        <v>112</v>
      </c>
      <c r="N68" s="127">
        <f>P68+R68+T68+V68</f>
        <v>8065.5</v>
      </c>
      <c r="O68" s="128">
        <f t="shared" si="16"/>
        <v>8065.5</v>
      </c>
      <c r="P68" s="3"/>
      <c r="Q68" s="3"/>
      <c r="R68" s="3">
        <v>8065.5</v>
      </c>
      <c r="S68" s="3">
        <v>8065.5</v>
      </c>
      <c r="T68" s="3"/>
      <c r="U68" s="3"/>
      <c r="V68" s="3"/>
      <c r="W68" s="3"/>
      <c r="X68" s="127">
        <f t="shared" si="17"/>
        <v>0</v>
      </c>
      <c r="Y68" s="3"/>
      <c r="Z68" s="3"/>
      <c r="AA68" s="3"/>
      <c r="AB68" s="3"/>
      <c r="AC68" s="127">
        <f>AD68+AE68+AF68+AG68</f>
        <v>0</v>
      </c>
      <c r="AD68" s="3"/>
      <c r="AE68" s="3"/>
      <c r="AF68" s="3"/>
      <c r="AG68" s="3"/>
      <c r="AH68" s="127">
        <f t="shared" si="18"/>
        <v>0</v>
      </c>
      <c r="AI68" s="3"/>
      <c r="AJ68" s="3"/>
      <c r="AK68" s="3"/>
      <c r="AL68" s="3"/>
      <c r="AM68" s="127">
        <f t="shared" si="19"/>
        <v>0</v>
      </c>
      <c r="AN68" s="3"/>
      <c r="AO68" s="3"/>
      <c r="AP68" s="3"/>
      <c r="AQ68" s="3"/>
    </row>
    <row r="69" spans="1:43" ht="35.450000000000003" customHeight="1" thickBot="1">
      <c r="A69" s="72" t="s">
        <v>65</v>
      </c>
      <c r="B69" s="104"/>
      <c r="C69" s="129"/>
      <c r="D69" s="130"/>
      <c r="E69" s="130"/>
      <c r="F69" s="3"/>
      <c r="G69" s="3"/>
      <c r="H69" s="3"/>
      <c r="I69" s="4"/>
      <c r="J69" s="3"/>
      <c r="K69" s="3"/>
      <c r="L69" s="3"/>
      <c r="M69" s="136" t="s">
        <v>113</v>
      </c>
      <c r="N69" s="127">
        <f>P69+R69+T69+V69</f>
        <v>0</v>
      </c>
      <c r="O69" s="128">
        <f t="shared" si="16"/>
        <v>0</v>
      </c>
      <c r="P69" s="3"/>
      <c r="Q69" s="3"/>
      <c r="R69" s="3"/>
      <c r="S69" s="3"/>
      <c r="T69" s="3"/>
      <c r="U69" s="3"/>
      <c r="V69" s="3"/>
      <c r="W69" s="3"/>
      <c r="X69" s="127">
        <f t="shared" si="17"/>
        <v>0</v>
      </c>
      <c r="Y69" s="3"/>
      <c r="Z69" s="3"/>
      <c r="AA69" s="3"/>
      <c r="AB69" s="3"/>
      <c r="AC69" s="127">
        <f>AD69+AE69+AF69+AG69</f>
        <v>0</v>
      </c>
      <c r="AD69" s="3"/>
      <c r="AE69" s="3"/>
      <c r="AF69" s="3"/>
      <c r="AG69" s="3"/>
      <c r="AH69" s="127">
        <f t="shared" si="18"/>
        <v>0</v>
      </c>
      <c r="AI69" s="3"/>
      <c r="AJ69" s="3"/>
      <c r="AK69" s="3"/>
      <c r="AL69" s="3"/>
      <c r="AM69" s="127">
        <f t="shared" si="19"/>
        <v>0</v>
      </c>
      <c r="AN69" s="3"/>
      <c r="AO69" s="3"/>
      <c r="AP69" s="3"/>
      <c r="AQ69" s="3"/>
    </row>
    <row r="70" spans="1:43" ht="35.450000000000003" customHeight="1" thickBot="1">
      <c r="A70" s="72" t="s">
        <v>65</v>
      </c>
      <c r="B70" s="80"/>
      <c r="C70" s="64"/>
      <c r="D70" s="64"/>
      <c r="E70" s="64"/>
      <c r="F70" s="131" t="s">
        <v>1292</v>
      </c>
      <c r="G70" s="131" t="s">
        <v>1293</v>
      </c>
      <c r="H70" s="137">
        <v>28.041202500000001</v>
      </c>
      <c r="I70" s="131" t="s">
        <v>1294</v>
      </c>
      <c r="J70" s="131" t="s">
        <v>153</v>
      </c>
      <c r="K70" s="131" t="s">
        <v>1295</v>
      </c>
      <c r="L70" s="131"/>
      <c r="M70" s="87" t="s">
        <v>114</v>
      </c>
      <c r="N70" s="127">
        <f>P70+R70+T70+V70</f>
        <v>39611.5</v>
      </c>
      <c r="O70" s="128">
        <f t="shared" si="16"/>
        <v>39611.5</v>
      </c>
      <c r="P70" s="3"/>
      <c r="Q70" s="3"/>
      <c r="R70" s="3">
        <v>39611.5</v>
      </c>
      <c r="S70" s="3">
        <v>39611.5</v>
      </c>
      <c r="T70" s="3"/>
      <c r="U70" s="3"/>
      <c r="V70" s="3"/>
      <c r="W70" s="3"/>
      <c r="X70" s="127">
        <f t="shared" si="17"/>
        <v>39694.9</v>
      </c>
      <c r="Y70" s="3"/>
      <c r="Z70" s="3">
        <v>39611.5</v>
      </c>
      <c r="AA70" s="3"/>
      <c r="AB70" s="3">
        <v>83.4</v>
      </c>
      <c r="AC70" s="127">
        <f>AD70+AE70+AF70+AG70</f>
        <v>83.4</v>
      </c>
      <c r="AD70" s="3"/>
      <c r="AE70" s="3"/>
      <c r="AF70" s="3"/>
      <c r="AG70" s="3">
        <v>83.4</v>
      </c>
      <c r="AH70" s="127">
        <f t="shared" si="18"/>
        <v>83.4</v>
      </c>
      <c r="AI70" s="3"/>
      <c r="AJ70" s="3"/>
      <c r="AK70" s="3"/>
      <c r="AL70" s="3">
        <v>83.4</v>
      </c>
      <c r="AM70" s="127">
        <f t="shared" si="19"/>
        <v>83.4</v>
      </c>
      <c r="AN70" s="3"/>
      <c r="AO70" s="3"/>
      <c r="AP70" s="3"/>
      <c r="AQ70" s="3">
        <v>83.4</v>
      </c>
    </row>
    <row r="71" spans="1:43" ht="35.450000000000003" customHeight="1" thickBot="1">
      <c r="A71" s="72" t="s">
        <v>65</v>
      </c>
      <c r="B71" s="104"/>
      <c r="C71" s="129"/>
      <c r="D71" s="130"/>
      <c r="E71" s="130"/>
      <c r="F71" s="3"/>
      <c r="G71" s="3"/>
      <c r="H71" s="3"/>
      <c r="I71" s="4"/>
      <c r="J71" s="3"/>
      <c r="K71" s="3"/>
      <c r="L71" s="3"/>
      <c r="M71" s="87" t="s">
        <v>115</v>
      </c>
      <c r="N71" s="127">
        <f t="shared" ref="N71:N88" si="20">P71+R71+T71+V71</f>
        <v>0</v>
      </c>
      <c r="O71" s="128">
        <f t="shared" si="16"/>
        <v>0</v>
      </c>
      <c r="P71" s="3"/>
      <c r="Q71" s="3"/>
      <c r="R71" s="3"/>
      <c r="S71" s="3"/>
      <c r="T71" s="3"/>
      <c r="U71" s="3"/>
      <c r="V71" s="3">
        <f>1000-1000</f>
        <v>0</v>
      </c>
      <c r="W71" s="3"/>
      <c r="X71" s="127"/>
      <c r="Y71" s="3"/>
      <c r="Z71" s="3"/>
      <c r="AA71" s="3"/>
      <c r="AB71" s="3"/>
      <c r="AC71" s="127"/>
      <c r="AD71" s="3"/>
      <c r="AE71" s="3"/>
      <c r="AF71" s="3"/>
      <c r="AG71" s="3"/>
      <c r="AH71" s="127"/>
      <c r="AI71" s="3"/>
      <c r="AJ71" s="3"/>
      <c r="AK71" s="3"/>
      <c r="AL71" s="3"/>
      <c r="AM71" s="127"/>
      <c r="AN71" s="3"/>
      <c r="AO71" s="3"/>
      <c r="AP71" s="3"/>
      <c r="AQ71" s="3"/>
    </row>
    <row r="72" spans="1:43" ht="35.450000000000003" customHeight="1" thickBot="1">
      <c r="A72" s="72" t="s">
        <v>65</v>
      </c>
      <c r="B72" s="104"/>
      <c r="C72" s="129"/>
      <c r="D72" s="130"/>
      <c r="E72" s="130"/>
      <c r="F72" s="3"/>
      <c r="G72" s="3"/>
      <c r="H72" s="3"/>
      <c r="I72" s="4"/>
      <c r="J72" s="3"/>
      <c r="K72" s="3"/>
      <c r="L72" s="3"/>
      <c r="M72" s="87" t="s">
        <v>116</v>
      </c>
      <c r="N72" s="127">
        <f t="shared" si="20"/>
        <v>7073.3</v>
      </c>
      <c r="O72" s="128">
        <f t="shared" si="16"/>
        <v>7073.3</v>
      </c>
      <c r="P72" s="3"/>
      <c r="Q72" s="3"/>
      <c r="R72" s="3"/>
      <c r="S72" s="3"/>
      <c r="T72" s="3"/>
      <c r="U72" s="3"/>
      <c r="V72" s="3">
        <f>2000+1000+1000+1000+2073.3</f>
        <v>7073.3</v>
      </c>
      <c r="W72" s="3">
        <v>7073.3</v>
      </c>
      <c r="X72" s="127"/>
      <c r="Y72" s="3"/>
      <c r="Z72" s="3"/>
      <c r="AA72" s="3"/>
      <c r="AB72" s="3"/>
      <c r="AC72" s="127"/>
      <c r="AD72" s="3"/>
      <c r="AE72" s="3"/>
      <c r="AF72" s="3"/>
      <c r="AG72" s="3"/>
      <c r="AH72" s="127"/>
      <c r="AI72" s="3"/>
      <c r="AJ72" s="3"/>
      <c r="AK72" s="3"/>
      <c r="AL72" s="3"/>
      <c r="AM72" s="127"/>
      <c r="AN72" s="3"/>
      <c r="AO72" s="3"/>
      <c r="AP72" s="3"/>
      <c r="AQ72" s="3"/>
    </row>
    <row r="73" spans="1:43" ht="35.450000000000003" customHeight="1" thickBot="1">
      <c r="A73" s="72" t="s">
        <v>65</v>
      </c>
      <c r="B73" s="104"/>
      <c r="C73" s="129"/>
      <c r="D73" s="130"/>
      <c r="E73" s="130"/>
      <c r="F73" s="3"/>
      <c r="G73" s="3"/>
      <c r="H73" s="3"/>
      <c r="I73" s="4"/>
      <c r="J73" s="3"/>
      <c r="K73" s="3"/>
      <c r="L73" s="3"/>
      <c r="M73" s="87" t="s">
        <v>117</v>
      </c>
      <c r="N73" s="127">
        <f t="shared" si="20"/>
        <v>35223.300000000003</v>
      </c>
      <c r="O73" s="128">
        <f t="shared" si="16"/>
        <v>35223.300000000003</v>
      </c>
      <c r="P73" s="3"/>
      <c r="Q73" s="3"/>
      <c r="R73" s="3"/>
      <c r="S73" s="3"/>
      <c r="T73" s="3"/>
      <c r="U73" s="3"/>
      <c r="V73" s="3">
        <f>31066.4+1197.5+1945.4+1014</f>
        <v>35223.300000000003</v>
      </c>
      <c r="W73" s="3">
        <v>35223.300000000003</v>
      </c>
      <c r="X73" s="127">
        <f t="shared" si="17"/>
        <v>40346.300000000003</v>
      </c>
      <c r="Y73" s="3"/>
      <c r="Z73" s="3"/>
      <c r="AA73" s="3"/>
      <c r="AB73" s="3">
        <f>31066.4+6405.4+1750+1124.5</f>
        <v>40346.300000000003</v>
      </c>
      <c r="AC73" s="127">
        <f>AD73+AE73+AF73+AG73</f>
        <v>31066.400000000001</v>
      </c>
      <c r="AD73" s="3"/>
      <c r="AE73" s="3"/>
      <c r="AF73" s="3"/>
      <c r="AG73" s="3">
        <v>31066.400000000001</v>
      </c>
      <c r="AH73" s="127">
        <f t="shared" si="18"/>
        <v>31066.400000000001</v>
      </c>
      <c r="AI73" s="3"/>
      <c r="AJ73" s="3"/>
      <c r="AK73" s="3"/>
      <c r="AL73" s="3">
        <v>31066.400000000001</v>
      </c>
      <c r="AM73" s="127">
        <f t="shared" si="19"/>
        <v>31066.400000000001</v>
      </c>
      <c r="AN73" s="3"/>
      <c r="AO73" s="3"/>
      <c r="AP73" s="3"/>
      <c r="AQ73" s="3">
        <v>31066.400000000001</v>
      </c>
    </row>
    <row r="74" spans="1:43" ht="35.450000000000003" customHeight="1" thickBot="1">
      <c r="A74" s="72" t="s">
        <v>65</v>
      </c>
      <c r="B74" s="104"/>
      <c r="C74" s="129"/>
      <c r="D74" s="130"/>
      <c r="E74" s="130"/>
      <c r="F74" s="3"/>
      <c r="G74" s="3"/>
      <c r="H74" s="3"/>
      <c r="I74" s="4"/>
      <c r="J74" s="3"/>
      <c r="K74" s="3"/>
      <c r="L74" s="3"/>
      <c r="M74" s="87" t="s">
        <v>118</v>
      </c>
      <c r="N74" s="127">
        <f t="shared" si="20"/>
        <v>0</v>
      </c>
      <c r="O74" s="128">
        <f t="shared" si="16"/>
        <v>0</v>
      </c>
      <c r="P74" s="3"/>
      <c r="Q74" s="3"/>
      <c r="R74" s="3"/>
      <c r="S74" s="3"/>
      <c r="T74" s="3"/>
      <c r="U74" s="3"/>
      <c r="V74" s="3">
        <f>1945.4-1945.4</f>
        <v>0</v>
      </c>
      <c r="W74" s="3"/>
      <c r="X74" s="127"/>
      <c r="Y74" s="3"/>
      <c r="Z74" s="3"/>
      <c r="AA74" s="3"/>
      <c r="AB74" s="3"/>
      <c r="AC74" s="127"/>
      <c r="AD74" s="3"/>
      <c r="AE74" s="3"/>
      <c r="AF74" s="3"/>
      <c r="AG74" s="3"/>
      <c r="AH74" s="127"/>
      <c r="AI74" s="3"/>
      <c r="AJ74" s="3"/>
      <c r="AK74" s="3"/>
      <c r="AL74" s="3"/>
      <c r="AM74" s="127"/>
      <c r="AN74" s="3"/>
      <c r="AO74" s="3"/>
      <c r="AP74" s="3"/>
      <c r="AQ74" s="3"/>
    </row>
    <row r="75" spans="1:43" ht="35.450000000000003" customHeight="1" thickBot="1">
      <c r="A75" s="72" t="s">
        <v>65</v>
      </c>
      <c r="B75" s="104"/>
      <c r="C75" s="129"/>
      <c r="D75" s="130"/>
      <c r="E75" s="130"/>
      <c r="F75" s="3"/>
      <c r="G75" s="3"/>
      <c r="H75" s="3"/>
      <c r="I75" s="4"/>
      <c r="J75" s="3"/>
      <c r="K75" s="3"/>
      <c r="L75" s="3"/>
      <c r="M75" s="87" t="s">
        <v>119</v>
      </c>
      <c r="N75" s="127">
        <f t="shared" si="20"/>
        <v>0</v>
      </c>
      <c r="O75" s="128">
        <f t="shared" si="16"/>
        <v>0</v>
      </c>
      <c r="P75" s="3"/>
      <c r="Q75" s="3"/>
      <c r="R75" s="3"/>
      <c r="S75" s="3"/>
      <c r="T75" s="3"/>
      <c r="U75" s="3"/>
      <c r="V75" s="3"/>
      <c r="W75" s="3"/>
      <c r="X75" s="127">
        <f t="shared" si="17"/>
        <v>0</v>
      </c>
      <c r="Y75" s="3"/>
      <c r="Z75" s="3"/>
      <c r="AA75" s="3"/>
      <c r="AB75" s="3"/>
      <c r="AC75" s="127">
        <f>AD75+AE75+AF75+AG75</f>
        <v>0</v>
      </c>
      <c r="AD75" s="3"/>
      <c r="AE75" s="3"/>
      <c r="AF75" s="3"/>
      <c r="AG75" s="3"/>
      <c r="AH75" s="127">
        <f t="shared" si="18"/>
        <v>0</v>
      </c>
      <c r="AI75" s="3"/>
      <c r="AJ75" s="3"/>
      <c r="AK75" s="3"/>
      <c r="AL75" s="3"/>
      <c r="AM75" s="127">
        <f t="shared" si="19"/>
        <v>0</v>
      </c>
      <c r="AN75" s="3"/>
      <c r="AO75" s="3"/>
      <c r="AP75" s="3"/>
      <c r="AQ75" s="3"/>
    </row>
    <row r="76" spans="1:43" ht="35.450000000000003" customHeight="1" thickBot="1">
      <c r="A76" s="72" t="s">
        <v>65</v>
      </c>
      <c r="B76" s="104"/>
      <c r="C76" s="129"/>
      <c r="D76" s="130"/>
      <c r="E76" s="130"/>
      <c r="F76" s="3"/>
      <c r="G76" s="3"/>
      <c r="H76" s="3"/>
      <c r="I76" s="4"/>
      <c r="J76" s="3"/>
      <c r="K76" s="3"/>
      <c r="L76" s="3"/>
      <c r="M76" s="87" t="s">
        <v>120</v>
      </c>
      <c r="N76" s="127">
        <f t="shared" si="20"/>
        <v>4787.4999999999991</v>
      </c>
      <c r="O76" s="128">
        <f t="shared" si="16"/>
        <v>4787.5</v>
      </c>
      <c r="P76" s="3"/>
      <c r="Q76" s="3"/>
      <c r="R76" s="3"/>
      <c r="S76" s="3"/>
      <c r="T76" s="3"/>
      <c r="U76" s="3"/>
      <c r="V76" s="3">
        <f>3816.2+672.9+298.4</f>
        <v>4787.4999999999991</v>
      </c>
      <c r="W76" s="3">
        <v>4787.5</v>
      </c>
      <c r="X76" s="127">
        <f t="shared" si="17"/>
        <v>4211.3999999999996</v>
      </c>
      <c r="Y76" s="3"/>
      <c r="Z76" s="3"/>
      <c r="AA76" s="3"/>
      <c r="AB76" s="3">
        <f>4107.4+104</f>
        <v>4211.3999999999996</v>
      </c>
      <c r="AC76" s="127">
        <f>AD76+AE76+AF76+AG76</f>
        <v>4107.3999999999996</v>
      </c>
      <c r="AD76" s="3"/>
      <c r="AE76" s="3"/>
      <c r="AF76" s="3"/>
      <c r="AG76" s="3">
        <v>4107.3999999999996</v>
      </c>
      <c r="AH76" s="127">
        <f t="shared" si="18"/>
        <v>4107.3999999999996</v>
      </c>
      <c r="AI76" s="3"/>
      <c r="AJ76" s="3"/>
      <c r="AK76" s="3"/>
      <c r="AL76" s="3">
        <v>4107.3999999999996</v>
      </c>
      <c r="AM76" s="127">
        <f t="shared" si="19"/>
        <v>4107.3999999999996</v>
      </c>
      <c r="AN76" s="3"/>
      <c r="AO76" s="3"/>
      <c r="AP76" s="3"/>
      <c r="AQ76" s="3">
        <v>4107.3999999999996</v>
      </c>
    </row>
    <row r="77" spans="1:43" ht="35.450000000000003" customHeight="1" thickBot="1">
      <c r="A77" s="72" t="s">
        <v>65</v>
      </c>
      <c r="B77" s="104"/>
      <c r="C77" s="129"/>
      <c r="D77" s="130"/>
      <c r="E77" s="130"/>
      <c r="F77" s="3"/>
      <c r="G77" s="3"/>
      <c r="H77" s="3"/>
      <c r="I77" s="4"/>
      <c r="J77" s="3"/>
      <c r="K77" s="3"/>
      <c r="L77" s="3"/>
      <c r="M77" s="87" t="s">
        <v>121</v>
      </c>
      <c r="N77" s="127">
        <f t="shared" si="20"/>
        <v>0</v>
      </c>
      <c r="O77" s="128">
        <f t="shared" si="16"/>
        <v>0</v>
      </c>
      <c r="P77" s="3"/>
      <c r="Q77" s="3"/>
      <c r="R77" s="3"/>
      <c r="S77" s="3"/>
      <c r="T77" s="3"/>
      <c r="U77" s="3"/>
      <c r="V77" s="3"/>
      <c r="W77" s="3"/>
      <c r="X77" s="127">
        <f t="shared" si="17"/>
        <v>2983.4</v>
      </c>
      <c r="Y77" s="3"/>
      <c r="Z77" s="3"/>
      <c r="AA77" s="3"/>
      <c r="AB77" s="3">
        <f>3000-16.6</f>
        <v>2983.4</v>
      </c>
      <c r="AC77" s="127">
        <f>AD77+AE77+AF77+AG77</f>
        <v>0</v>
      </c>
      <c r="AD77" s="3"/>
      <c r="AE77" s="3"/>
      <c r="AF77" s="3"/>
      <c r="AG77" s="3"/>
      <c r="AH77" s="127">
        <f t="shared" si="18"/>
        <v>0</v>
      </c>
      <c r="AI77" s="3"/>
      <c r="AJ77" s="3"/>
      <c r="AK77" s="3"/>
      <c r="AL77" s="3"/>
      <c r="AM77" s="127">
        <f t="shared" si="19"/>
        <v>0</v>
      </c>
      <c r="AN77" s="3"/>
      <c r="AO77" s="3"/>
      <c r="AP77" s="3"/>
      <c r="AQ77" s="3"/>
    </row>
    <row r="78" spans="1:43" ht="35.450000000000003" customHeight="1" thickBot="1">
      <c r="A78" s="72" t="s">
        <v>65</v>
      </c>
      <c r="B78" s="104"/>
      <c r="C78" s="129"/>
      <c r="D78" s="130"/>
      <c r="E78" s="130"/>
      <c r="F78" s="3"/>
      <c r="G78" s="3"/>
      <c r="H78" s="3"/>
      <c r="I78" s="4"/>
      <c r="J78" s="3"/>
      <c r="K78" s="3"/>
      <c r="L78" s="3"/>
      <c r="M78" s="87" t="s">
        <v>122</v>
      </c>
      <c r="N78" s="127">
        <f t="shared" si="20"/>
        <v>419.80000000000007</v>
      </c>
      <c r="O78" s="128">
        <f t="shared" si="16"/>
        <v>419.8</v>
      </c>
      <c r="P78" s="3"/>
      <c r="Q78" s="3"/>
      <c r="R78" s="3"/>
      <c r="S78" s="3"/>
      <c r="T78" s="3"/>
      <c r="U78" s="3"/>
      <c r="V78" s="3">
        <f>528.2-108.4</f>
        <v>419.80000000000007</v>
      </c>
      <c r="W78" s="3">
        <v>419.8</v>
      </c>
      <c r="X78" s="127">
        <f t="shared" si="17"/>
        <v>397.6</v>
      </c>
      <c r="Y78" s="3"/>
      <c r="Z78" s="3"/>
      <c r="AA78" s="3"/>
      <c r="AB78" s="3">
        <f>582.2-184.6</f>
        <v>397.6</v>
      </c>
      <c r="AC78" s="127">
        <f>AD78+AE78+AF78+AG78</f>
        <v>582.20000000000005</v>
      </c>
      <c r="AD78" s="3"/>
      <c r="AE78" s="3"/>
      <c r="AF78" s="3"/>
      <c r="AG78" s="3">
        <v>582.20000000000005</v>
      </c>
      <c r="AH78" s="127">
        <f t="shared" si="18"/>
        <v>582.20000000000005</v>
      </c>
      <c r="AI78" s="3"/>
      <c r="AJ78" s="3"/>
      <c r="AK78" s="3"/>
      <c r="AL78" s="3">
        <v>582.20000000000005</v>
      </c>
      <c r="AM78" s="127">
        <f t="shared" si="19"/>
        <v>582.20000000000005</v>
      </c>
      <c r="AN78" s="3"/>
      <c r="AO78" s="3"/>
      <c r="AP78" s="3"/>
      <c r="AQ78" s="3">
        <v>582.20000000000005</v>
      </c>
    </row>
    <row r="79" spans="1:43" ht="35.450000000000003" customHeight="1" thickBot="1">
      <c r="A79" s="72" t="s">
        <v>65</v>
      </c>
      <c r="B79" s="104"/>
      <c r="C79" s="129"/>
      <c r="D79" s="130"/>
      <c r="E79" s="130"/>
      <c r="F79" s="3"/>
      <c r="G79" s="3"/>
      <c r="H79" s="3"/>
      <c r="I79" s="4"/>
      <c r="J79" s="3"/>
      <c r="K79" s="3"/>
      <c r="L79" s="3"/>
      <c r="M79" s="87" t="s">
        <v>123</v>
      </c>
      <c r="N79" s="127">
        <f t="shared" si="20"/>
        <v>0</v>
      </c>
      <c r="O79" s="128">
        <f t="shared" si="16"/>
        <v>0</v>
      </c>
      <c r="P79" s="3"/>
      <c r="Q79" s="3"/>
      <c r="R79" s="3"/>
      <c r="S79" s="3"/>
      <c r="T79" s="3"/>
      <c r="U79" s="3"/>
      <c r="V79" s="3"/>
      <c r="W79" s="3"/>
      <c r="X79" s="127">
        <f t="shared" si="17"/>
        <v>0</v>
      </c>
      <c r="Y79" s="3"/>
      <c r="Z79" s="3"/>
      <c r="AA79" s="3"/>
      <c r="AB79" s="3"/>
      <c r="AC79" s="127">
        <f>AD79+AE79+AF79+AG79</f>
        <v>0</v>
      </c>
      <c r="AD79" s="3"/>
      <c r="AE79" s="3"/>
      <c r="AF79" s="3"/>
      <c r="AG79" s="3"/>
      <c r="AH79" s="127">
        <f t="shared" si="18"/>
        <v>0</v>
      </c>
      <c r="AI79" s="3"/>
      <c r="AJ79" s="3"/>
      <c r="AK79" s="3"/>
      <c r="AL79" s="3"/>
      <c r="AM79" s="127">
        <f t="shared" si="19"/>
        <v>0</v>
      </c>
      <c r="AN79" s="3"/>
      <c r="AO79" s="3"/>
      <c r="AP79" s="3"/>
      <c r="AQ79" s="3"/>
    </row>
    <row r="80" spans="1:43" ht="35.450000000000003" customHeight="1" thickBot="1">
      <c r="A80" s="72" t="s">
        <v>65</v>
      </c>
      <c r="B80" s="104"/>
      <c r="C80" s="129"/>
      <c r="D80" s="130"/>
      <c r="E80" s="130"/>
      <c r="F80" s="3"/>
      <c r="G80" s="3"/>
      <c r="H80" s="3"/>
      <c r="I80" s="4"/>
      <c r="J80" s="3"/>
      <c r="K80" s="3"/>
      <c r="L80" s="3"/>
      <c r="M80" s="87" t="s">
        <v>124</v>
      </c>
      <c r="N80" s="127">
        <f t="shared" si="20"/>
        <v>0</v>
      </c>
      <c r="O80" s="128">
        <f t="shared" si="16"/>
        <v>0</v>
      </c>
      <c r="P80" s="3"/>
      <c r="Q80" s="3"/>
      <c r="R80" s="3"/>
      <c r="S80" s="3"/>
      <c r="T80" s="3"/>
      <c r="U80" s="3"/>
      <c r="V80" s="3"/>
      <c r="W80" s="3"/>
      <c r="X80" s="127">
        <f t="shared" si="17"/>
        <v>0</v>
      </c>
      <c r="Y80" s="3"/>
      <c r="Z80" s="3"/>
      <c r="AA80" s="3"/>
      <c r="AB80" s="3"/>
      <c r="AC80" s="127"/>
      <c r="AD80" s="3"/>
      <c r="AE80" s="3"/>
      <c r="AF80" s="3"/>
      <c r="AG80" s="3"/>
      <c r="AH80" s="127"/>
      <c r="AI80" s="3"/>
      <c r="AJ80" s="3"/>
      <c r="AK80" s="3"/>
      <c r="AL80" s="3"/>
      <c r="AM80" s="127"/>
      <c r="AN80" s="3"/>
      <c r="AO80" s="3"/>
      <c r="AP80" s="3"/>
      <c r="AQ80" s="3"/>
    </row>
    <row r="81" spans="1:43" ht="35.450000000000003" customHeight="1" thickBot="1">
      <c r="A81" s="72" t="s">
        <v>65</v>
      </c>
      <c r="B81" s="104"/>
      <c r="C81" s="129"/>
      <c r="D81" s="130"/>
      <c r="E81" s="130"/>
      <c r="F81" s="3"/>
      <c r="G81" s="3"/>
      <c r="H81" s="3"/>
      <c r="I81" s="4"/>
      <c r="J81" s="3"/>
      <c r="K81" s="3"/>
      <c r="L81" s="3"/>
      <c r="M81" s="87" t="s">
        <v>125</v>
      </c>
      <c r="N81" s="127">
        <f t="shared" si="20"/>
        <v>1750</v>
      </c>
      <c r="O81" s="128">
        <f t="shared" si="16"/>
        <v>0</v>
      </c>
      <c r="P81" s="3"/>
      <c r="Q81" s="3"/>
      <c r="R81" s="3"/>
      <c r="S81" s="3"/>
      <c r="T81" s="3"/>
      <c r="U81" s="3"/>
      <c r="V81" s="3">
        <v>1750</v>
      </c>
      <c r="W81" s="3">
        <v>0</v>
      </c>
      <c r="X81" s="127">
        <f t="shared" si="17"/>
        <v>0</v>
      </c>
      <c r="Y81" s="3"/>
      <c r="Z81" s="3"/>
      <c r="AA81" s="3"/>
      <c r="AB81" s="3">
        <f>1750-1750</f>
        <v>0</v>
      </c>
      <c r="AC81" s="127"/>
      <c r="AD81" s="3"/>
      <c r="AE81" s="3"/>
      <c r="AF81" s="3"/>
      <c r="AG81" s="3"/>
      <c r="AH81" s="127"/>
      <c r="AI81" s="3"/>
      <c r="AJ81" s="3"/>
      <c r="AK81" s="3"/>
      <c r="AL81" s="3"/>
      <c r="AM81" s="127"/>
      <c r="AN81" s="3"/>
      <c r="AO81" s="3"/>
      <c r="AP81" s="3"/>
      <c r="AQ81" s="3"/>
    </row>
    <row r="82" spans="1:43" ht="35.450000000000003" customHeight="1" thickBot="1">
      <c r="A82" s="72" t="s">
        <v>65</v>
      </c>
      <c r="B82" s="104"/>
      <c r="C82" s="129"/>
      <c r="D82" s="130"/>
      <c r="E82" s="130"/>
      <c r="F82" s="3"/>
      <c r="G82" s="3"/>
      <c r="H82" s="3"/>
      <c r="I82" s="4"/>
      <c r="J82" s="3"/>
      <c r="K82" s="3"/>
      <c r="L82" s="3"/>
      <c r="M82" s="87" t="s">
        <v>126</v>
      </c>
      <c r="N82" s="127"/>
      <c r="O82" s="128"/>
      <c r="P82" s="3"/>
      <c r="Q82" s="3"/>
      <c r="R82" s="3"/>
      <c r="S82" s="3"/>
      <c r="T82" s="3"/>
      <c r="U82" s="3"/>
      <c r="V82" s="3"/>
      <c r="W82" s="3"/>
      <c r="X82" s="127">
        <f t="shared" si="17"/>
        <v>1500</v>
      </c>
      <c r="Y82" s="3"/>
      <c r="Z82" s="3"/>
      <c r="AA82" s="3"/>
      <c r="AB82" s="3">
        <v>1500</v>
      </c>
      <c r="AC82" s="127"/>
      <c r="AD82" s="3"/>
      <c r="AE82" s="3"/>
      <c r="AF82" s="3"/>
      <c r="AG82" s="3"/>
      <c r="AH82" s="127"/>
      <c r="AI82" s="3"/>
      <c r="AJ82" s="3"/>
      <c r="AK82" s="3"/>
      <c r="AL82" s="3"/>
      <c r="AM82" s="127"/>
      <c r="AN82" s="3"/>
      <c r="AO82" s="3"/>
      <c r="AP82" s="3"/>
      <c r="AQ82" s="3"/>
    </row>
    <row r="83" spans="1:43" ht="35.450000000000003" customHeight="1" thickBot="1">
      <c r="A83" s="72" t="s">
        <v>65</v>
      </c>
      <c r="B83" s="104"/>
      <c r="C83" s="129"/>
      <c r="D83" s="130"/>
      <c r="E83" s="130"/>
      <c r="F83" s="3"/>
      <c r="G83" s="3"/>
      <c r="H83" s="3"/>
      <c r="I83" s="4"/>
      <c r="J83" s="3"/>
      <c r="K83" s="3"/>
      <c r="L83" s="3"/>
      <c r="M83" s="87" t="s">
        <v>127</v>
      </c>
      <c r="N83" s="127">
        <f t="shared" si="20"/>
        <v>0</v>
      </c>
      <c r="O83" s="128">
        <f t="shared" si="16"/>
        <v>0</v>
      </c>
      <c r="P83" s="3"/>
      <c r="Q83" s="3"/>
      <c r="R83" s="3"/>
      <c r="S83" s="3"/>
      <c r="T83" s="3"/>
      <c r="U83" s="3"/>
      <c r="V83" s="3"/>
      <c r="W83" s="3"/>
      <c r="X83" s="127">
        <f t="shared" si="17"/>
        <v>299</v>
      </c>
      <c r="Y83" s="3"/>
      <c r="Z83" s="3"/>
      <c r="AA83" s="3"/>
      <c r="AB83" s="3">
        <v>299</v>
      </c>
      <c r="AC83" s="127">
        <f t="shared" ref="AC83:AC89" si="21">AD83+AE83+AF83+AG83</f>
        <v>0</v>
      </c>
      <c r="AD83" s="3"/>
      <c r="AE83" s="3"/>
      <c r="AF83" s="3"/>
      <c r="AG83" s="3"/>
      <c r="AH83" s="127">
        <f t="shared" si="18"/>
        <v>0</v>
      </c>
      <c r="AI83" s="3"/>
      <c r="AJ83" s="3"/>
      <c r="AK83" s="3"/>
      <c r="AL83" s="3"/>
      <c r="AM83" s="127">
        <f t="shared" si="19"/>
        <v>0</v>
      </c>
      <c r="AN83" s="3"/>
      <c r="AO83" s="3"/>
      <c r="AP83" s="3"/>
      <c r="AQ83" s="3"/>
    </row>
    <row r="84" spans="1:43" ht="35.450000000000003" customHeight="1" thickBot="1">
      <c r="A84" s="72" t="s">
        <v>65</v>
      </c>
      <c r="B84" s="104"/>
      <c r="C84" s="129"/>
      <c r="D84" s="130"/>
      <c r="E84" s="130"/>
      <c r="F84" s="3"/>
      <c r="G84" s="3"/>
      <c r="H84" s="3"/>
      <c r="I84" s="4"/>
      <c r="J84" s="3"/>
      <c r="K84" s="3"/>
      <c r="L84" s="3"/>
      <c r="M84" s="87" t="s">
        <v>128</v>
      </c>
      <c r="N84" s="127">
        <f t="shared" si="20"/>
        <v>0</v>
      </c>
      <c r="O84" s="128">
        <f t="shared" si="16"/>
        <v>0</v>
      </c>
      <c r="P84" s="3"/>
      <c r="Q84" s="3"/>
      <c r="R84" s="3"/>
      <c r="S84" s="3"/>
      <c r="T84" s="3"/>
      <c r="U84" s="3"/>
      <c r="V84" s="3"/>
      <c r="W84" s="3"/>
      <c r="X84" s="127">
        <f t="shared" si="17"/>
        <v>0</v>
      </c>
      <c r="Y84" s="3"/>
      <c r="Z84" s="3"/>
      <c r="AA84" s="3"/>
      <c r="AB84" s="3"/>
      <c r="AC84" s="127">
        <f t="shared" si="21"/>
        <v>0</v>
      </c>
      <c r="AD84" s="3"/>
      <c r="AE84" s="3"/>
      <c r="AF84" s="3"/>
      <c r="AG84" s="3"/>
      <c r="AH84" s="127">
        <f t="shared" si="18"/>
        <v>0</v>
      </c>
      <c r="AI84" s="3"/>
      <c r="AJ84" s="3"/>
      <c r="AK84" s="3"/>
      <c r="AL84" s="3"/>
      <c r="AM84" s="127">
        <f t="shared" si="19"/>
        <v>0</v>
      </c>
      <c r="AN84" s="3"/>
      <c r="AO84" s="3"/>
      <c r="AP84" s="3"/>
      <c r="AQ84" s="3"/>
    </row>
    <row r="85" spans="1:43" ht="35.450000000000003" customHeight="1" thickBot="1">
      <c r="A85" s="72" t="s">
        <v>65</v>
      </c>
      <c r="B85" s="104"/>
      <c r="C85" s="129"/>
      <c r="D85" s="130"/>
      <c r="E85" s="130"/>
      <c r="F85" s="3"/>
      <c r="G85" s="3"/>
      <c r="H85" s="3"/>
      <c r="I85" s="4"/>
      <c r="J85" s="3"/>
      <c r="K85" s="3"/>
      <c r="L85" s="3"/>
      <c r="M85" s="87" t="s">
        <v>129</v>
      </c>
      <c r="N85" s="127">
        <f t="shared" si="20"/>
        <v>17</v>
      </c>
      <c r="O85" s="128">
        <f t="shared" si="16"/>
        <v>17</v>
      </c>
      <c r="P85" s="3"/>
      <c r="Q85" s="3"/>
      <c r="R85" s="3"/>
      <c r="S85" s="3"/>
      <c r="T85" s="3"/>
      <c r="U85" s="3"/>
      <c r="V85" s="3">
        <v>17</v>
      </c>
      <c r="W85" s="3">
        <v>17</v>
      </c>
      <c r="X85" s="127">
        <f t="shared" si="17"/>
        <v>0</v>
      </c>
      <c r="Y85" s="3"/>
      <c r="Z85" s="3"/>
      <c r="AA85" s="3"/>
      <c r="AB85" s="3"/>
      <c r="AC85" s="127">
        <f t="shared" si="21"/>
        <v>0</v>
      </c>
      <c r="AD85" s="3"/>
      <c r="AE85" s="3"/>
      <c r="AF85" s="3"/>
      <c r="AG85" s="3"/>
      <c r="AH85" s="127">
        <f t="shared" si="18"/>
        <v>0</v>
      </c>
      <c r="AI85" s="3"/>
      <c r="AJ85" s="3"/>
      <c r="AK85" s="3"/>
      <c r="AL85" s="3"/>
      <c r="AM85" s="127">
        <f t="shared" si="19"/>
        <v>0</v>
      </c>
      <c r="AN85" s="3"/>
      <c r="AO85" s="3"/>
      <c r="AP85" s="3"/>
      <c r="AQ85" s="3"/>
    </row>
    <row r="86" spans="1:43" ht="35.450000000000003" customHeight="1" thickBot="1">
      <c r="A86" s="72" t="s">
        <v>65</v>
      </c>
      <c r="B86" s="104"/>
      <c r="C86" s="129"/>
      <c r="D86" s="130"/>
      <c r="E86" s="130"/>
      <c r="F86" s="3"/>
      <c r="G86" s="3"/>
      <c r="H86" s="3"/>
      <c r="I86" s="4"/>
      <c r="J86" s="3"/>
      <c r="K86" s="3"/>
      <c r="L86" s="3"/>
      <c r="M86" s="87" t="s">
        <v>130</v>
      </c>
      <c r="N86" s="127">
        <f t="shared" si="20"/>
        <v>0</v>
      </c>
      <c r="O86" s="128">
        <f t="shared" si="16"/>
        <v>0</v>
      </c>
      <c r="P86" s="3"/>
      <c r="Q86" s="3"/>
      <c r="R86" s="3"/>
      <c r="S86" s="3"/>
      <c r="T86" s="3"/>
      <c r="U86" s="3"/>
      <c r="V86" s="3"/>
      <c r="W86" s="3"/>
      <c r="X86" s="127">
        <f t="shared" si="17"/>
        <v>0</v>
      </c>
      <c r="Y86" s="3"/>
      <c r="Z86" s="3"/>
      <c r="AA86" s="3"/>
      <c r="AB86" s="3"/>
      <c r="AC86" s="127">
        <f t="shared" si="21"/>
        <v>0</v>
      </c>
      <c r="AD86" s="3"/>
      <c r="AE86" s="3"/>
      <c r="AF86" s="3"/>
      <c r="AG86" s="3"/>
      <c r="AH86" s="127">
        <f t="shared" si="18"/>
        <v>0</v>
      </c>
      <c r="AI86" s="3"/>
      <c r="AJ86" s="3"/>
      <c r="AK86" s="3"/>
      <c r="AL86" s="3"/>
      <c r="AM86" s="127">
        <f t="shared" si="19"/>
        <v>0</v>
      </c>
      <c r="AN86" s="3"/>
      <c r="AO86" s="3"/>
      <c r="AP86" s="3"/>
      <c r="AQ86" s="3"/>
    </row>
    <row r="87" spans="1:43" ht="35.450000000000003" customHeight="1" thickBot="1">
      <c r="A87" s="72" t="s">
        <v>65</v>
      </c>
      <c r="B87" s="104"/>
      <c r="C87" s="129"/>
      <c r="D87" s="130"/>
      <c r="E87" s="130"/>
      <c r="F87" s="3"/>
      <c r="G87" s="3"/>
      <c r="H87" s="3"/>
      <c r="I87" s="4"/>
      <c r="J87" s="3"/>
      <c r="K87" s="3"/>
      <c r="L87" s="3"/>
      <c r="M87" s="87" t="s">
        <v>131</v>
      </c>
      <c r="N87" s="127">
        <f t="shared" si="20"/>
        <v>83.399999999999991</v>
      </c>
      <c r="O87" s="128">
        <f t="shared" si="16"/>
        <v>83.4</v>
      </c>
      <c r="P87" s="3"/>
      <c r="Q87" s="3"/>
      <c r="R87" s="3"/>
      <c r="S87" s="3"/>
      <c r="T87" s="3"/>
      <c r="U87" s="3"/>
      <c r="V87" s="3">
        <f>79.3+4.1</f>
        <v>83.399999999999991</v>
      </c>
      <c r="W87" s="3">
        <v>83.4</v>
      </c>
      <c r="X87" s="127">
        <f t="shared" si="17"/>
        <v>0</v>
      </c>
      <c r="Y87" s="3"/>
      <c r="Z87" s="3"/>
      <c r="AA87" s="3"/>
      <c r="AB87" s="3">
        <v>0</v>
      </c>
      <c r="AC87" s="127">
        <f t="shared" si="21"/>
        <v>0</v>
      </c>
      <c r="AD87" s="3"/>
      <c r="AE87" s="3"/>
      <c r="AF87" s="3"/>
      <c r="AG87" s="3">
        <v>0</v>
      </c>
      <c r="AH87" s="127">
        <f t="shared" si="18"/>
        <v>0</v>
      </c>
      <c r="AI87" s="3"/>
      <c r="AJ87" s="3"/>
      <c r="AK87" s="3"/>
      <c r="AL87" s="3">
        <v>0</v>
      </c>
      <c r="AM87" s="127">
        <f t="shared" si="19"/>
        <v>0</v>
      </c>
      <c r="AN87" s="3"/>
      <c r="AO87" s="3"/>
      <c r="AP87" s="3"/>
      <c r="AQ87" s="3">
        <v>0</v>
      </c>
    </row>
    <row r="88" spans="1:43" ht="35.450000000000003" customHeight="1" thickBot="1">
      <c r="A88" s="72" t="s">
        <v>65</v>
      </c>
      <c r="B88" s="104"/>
      <c r="C88" s="129"/>
      <c r="D88" s="130"/>
      <c r="E88" s="130"/>
      <c r="F88" s="3"/>
      <c r="G88" s="3"/>
      <c r="H88" s="3"/>
      <c r="I88" s="4"/>
      <c r="J88" s="3"/>
      <c r="K88" s="3"/>
      <c r="L88" s="3"/>
      <c r="M88" s="87" t="s">
        <v>132</v>
      </c>
      <c r="N88" s="127">
        <f t="shared" si="20"/>
        <v>0</v>
      </c>
      <c r="O88" s="128">
        <f t="shared" si="16"/>
        <v>0</v>
      </c>
      <c r="P88" s="3"/>
      <c r="Q88" s="3"/>
      <c r="R88" s="3"/>
      <c r="S88" s="3"/>
      <c r="T88" s="3"/>
      <c r="U88" s="3"/>
      <c r="V88" s="3"/>
      <c r="W88" s="3"/>
      <c r="X88" s="127">
        <f t="shared" si="17"/>
        <v>0</v>
      </c>
      <c r="Y88" s="3"/>
      <c r="Z88" s="3"/>
      <c r="AA88" s="3"/>
      <c r="AB88" s="3"/>
      <c r="AC88" s="127">
        <f t="shared" si="21"/>
        <v>0</v>
      </c>
      <c r="AD88" s="3"/>
      <c r="AE88" s="3"/>
      <c r="AF88" s="3"/>
      <c r="AG88" s="3"/>
      <c r="AH88" s="127">
        <f t="shared" si="18"/>
        <v>0</v>
      </c>
      <c r="AI88" s="3"/>
      <c r="AJ88" s="3"/>
      <c r="AK88" s="3"/>
      <c r="AL88" s="3"/>
      <c r="AM88" s="127">
        <f t="shared" si="19"/>
        <v>0</v>
      </c>
      <c r="AN88" s="3"/>
      <c r="AO88" s="3"/>
      <c r="AP88" s="3"/>
      <c r="AQ88" s="3"/>
    </row>
    <row r="89" spans="1:43" ht="35.450000000000003" customHeight="1" thickBot="1">
      <c r="A89" s="72" t="s">
        <v>65</v>
      </c>
      <c r="B89" s="104"/>
      <c r="C89" s="129"/>
      <c r="D89" s="130"/>
      <c r="E89" s="130"/>
      <c r="F89" s="131" t="s">
        <v>1296</v>
      </c>
      <c r="G89" s="131" t="s">
        <v>153</v>
      </c>
      <c r="H89" s="131" t="s">
        <v>1297</v>
      </c>
      <c r="I89" s="131" t="s">
        <v>1298</v>
      </c>
      <c r="J89" s="131" t="s">
        <v>153</v>
      </c>
      <c r="K89" s="131" t="s">
        <v>1299</v>
      </c>
      <c r="L89" s="131"/>
      <c r="M89" s="87" t="s">
        <v>133</v>
      </c>
      <c r="N89" s="127"/>
      <c r="O89" s="128"/>
      <c r="P89" s="3"/>
      <c r="Q89" s="3"/>
      <c r="R89" s="3"/>
      <c r="S89" s="3"/>
      <c r="T89" s="3"/>
      <c r="U89" s="3"/>
      <c r="V89" s="3"/>
      <c r="W89" s="3"/>
      <c r="X89" s="127">
        <f t="shared" si="17"/>
        <v>76164.5</v>
      </c>
      <c r="Y89" s="3"/>
      <c r="Z89" s="3">
        <f>76164.5-380.8</f>
        <v>75783.7</v>
      </c>
      <c r="AA89" s="3"/>
      <c r="AB89" s="3">
        <v>380.8</v>
      </c>
      <c r="AC89" s="127">
        <f t="shared" si="21"/>
        <v>67470.599999999991</v>
      </c>
      <c r="AD89" s="3"/>
      <c r="AE89" s="3">
        <v>67133.2</v>
      </c>
      <c r="AF89" s="3"/>
      <c r="AG89" s="3">
        <v>337.4</v>
      </c>
      <c r="AH89" s="127">
        <f t="shared" si="18"/>
        <v>0</v>
      </c>
      <c r="AI89" s="3"/>
      <c r="AJ89" s="3"/>
      <c r="AK89" s="3"/>
      <c r="AL89" s="3"/>
      <c r="AM89" s="127">
        <f t="shared" si="19"/>
        <v>0</v>
      </c>
      <c r="AN89" s="3"/>
      <c r="AO89" s="3"/>
      <c r="AP89" s="3"/>
      <c r="AQ89" s="3"/>
    </row>
    <row r="90" spans="1:43" ht="35.450000000000003" customHeight="1" thickBot="1">
      <c r="A90" s="72" t="s">
        <v>65</v>
      </c>
      <c r="B90" s="104"/>
      <c r="C90" s="129"/>
      <c r="D90" s="130"/>
      <c r="E90" s="130"/>
      <c r="F90" s="3"/>
      <c r="G90" s="3"/>
      <c r="H90" s="3"/>
      <c r="I90" s="4"/>
      <c r="J90" s="3"/>
      <c r="K90" s="3"/>
      <c r="L90" s="3"/>
      <c r="M90" s="87" t="s">
        <v>134</v>
      </c>
      <c r="N90" s="127"/>
      <c r="O90" s="128"/>
      <c r="P90" s="3"/>
      <c r="Q90" s="3"/>
      <c r="R90" s="3"/>
      <c r="S90" s="3"/>
      <c r="T90" s="3"/>
      <c r="U90" s="3"/>
      <c r="V90" s="3"/>
      <c r="W90" s="3"/>
      <c r="X90" s="127">
        <f t="shared" si="17"/>
        <v>0</v>
      </c>
      <c r="Y90" s="3"/>
      <c r="Z90" s="3">
        <f>3741.1-3741.1</f>
        <v>0</v>
      </c>
      <c r="AA90" s="3"/>
      <c r="AB90" s="3"/>
      <c r="AC90" s="127"/>
      <c r="AD90" s="3"/>
      <c r="AE90" s="3"/>
      <c r="AF90" s="3"/>
      <c r="AG90" s="3"/>
      <c r="AH90" s="127"/>
      <c r="AI90" s="3"/>
      <c r="AJ90" s="3"/>
      <c r="AK90" s="3"/>
      <c r="AL90" s="3"/>
      <c r="AM90" s="127"/>
      <c r="AN90" s="3"/>
      <c r="AO90" s="3"/>
      <c r="AP90" s="3"/>
      <c r="AQ90" s="3"/>
    </row>
    <row r="91" spans="1:43" ht="35.450000000000003" customHeight="1" thickBot="1">
      <c r="A91" s="72" t="s">
        <v>65</v>
      </c>
      <c r="B91" s="104"/>
      <c r="C91" s="129"/>
      <c r="D91" s="130"/>
      <c r="E91" s="130"/>
      <c r="F91" s="3"/>
      <c r="G91" s="3"/>
      <c r="H91" s="3"/>
      <c r="I91" s="4"/>
      <c r="J91" s="3"/>
      <c r="K91" s="3"/>
      <c r="L91" s="3"/>
      <c r="M91" s="87" t="s">
        <v>135</v>
      </c>
      <c r="N91" s="127"/>
      <c r="O91" s="128">
        <f t="shared" si="16"/>
        <v>0</v>
      </c>
      <c r="P91" s="3"/>
      <c r="Q91" s="3"/>
      <c r="R91" s="3"/>
      <c r="S91" s="3"/>
      <c r="T91" s="3"/>
      <c r="U91" s="3"/>
      <c r="V91" s="3"/>
      <c r="W91" s="3"/>
      <c r="X91" s="127"/>
      <c r="Y91" s="3"/>
      <c r="Z91" s="3"/>
      <c r="AA91" s="3"/>
      <c r="AB91" s="3"/>
      <c r="AC91" s="127"/>
      <c r="AD91" s="3"/>
      <c r="AE91" s="3"/>
      <c r="AF91" s="3"/>
      <c r="AG91" s="3"/>
      <c r="AH91" s="127"/>
      <c r="AI91" s="3"/>
      <c r="AJ91" s="3"/>
      <c r="AK91" s="3"/>
      <c r="AL91" s="3"/>
      <c r="AM91" s="127"/>
      <c r="AN91" s="3"/>
      <c r="AO91" s="3"/>
      <c r="AP91" s="3"/>
      <c r="AQ91" s="3"/>
    </row>
    <row r="92" spans="1:43" ht="35.450000000000003" customHeight="1" thickBot="1">
      <c r="A92" s="72" t="s">
        <v>65</v>
      </c>
      <c r="B92" s="104"/>
      <c r="C92" s="129"/>
      <c r="D92" s="130"/>
      <c r="E92" s="130"/>
      <c r="F92" s="3"/>
      <c r="G92" s="3"/>
      <c r="H92" s="3"/>
      <c r="I92" s="4"/>
      <c r="J92" s="3"/>
      <c r="K92" s="3"/>
      <c r="L92" s="3"/>
      <c r="M92" s="87" t="s">
        <v>136</v>
      </c>
      <c r="N92" s="127">
        <f t="shared" ref="N92:N106" si="22">P92+R92+T92+V92</f>
        <v>0</v>
      </c>
      <c r="O92" s="128">
        <f t="shared" si="16"/>
        <v>0</v>
      </c>
      <c r="P92" s="3"/>
      <c r="Q92" s="3"/>
      <c r="R92" s="3"/>
      <c r="S92" s="3"/>
      <c r="T92" s="3"/>
      <c r="U92" s="3"/>
      <c r="V92" s="3"/>
      <c r="W92" s="3"/>
      <c r="X92" s="127">
        <f t="shared" ref="X92:X106" si="23">Y92+Z92+AA92+AB92</f>
        <v>0</v>
      </c>
      <c r="Y92" s="3"/>
      <c r="Z92" s="3"/>
      <c r="AA92" s="3"/>
      <c r="AB92" s="3"/>
      <c r="AC92" s="127">
        <f t="shared" ref="AC92:AC106" si="24">AD92+AE92+AF92+AG92</f>
        <v>0</v>
      </c>
      <c r="AD92" s="3"/>
      <c r="AE92" s="3"/>
      <c r="AF92" s="3"/>
      <c r="AG92" s="3"/>
      <c r="AH92" s="127">
        <f t="shared" si="18"/>
        <v>0</v>
      </c>
      <c r="AI92" s="3"/>
      <c r="AJ92" s="3"/>
      <c r="AK92" s="3"/>
      <c r="AL92" s="3"/>
      <c r="AM92" s="127">
        <f t="shared" si="19"/>
        <v>0</v>
      </c>
      <c r="AN92" s="3"/>
      <c r="AO92" s="3"/>
      <c r="AP92" s="3"/>
      <c r="AQ92" s="3"/>
    </row>
    <row r="93" spans="1:43" ht="35.450000000000003" customHeight="1" thickBot="1">
      <c r="A93" s="72" t="s">
        <v>65</v>
      </c>
      <c r="B93" s="104"/>
      <c r="C93" s="129"/>
      <c r="D93" s="130"/>
      <c r="E93" s="130"/>
      <c r="F93" s="3"/>
      <c r="G93" s="3"/>
      <c r="H93" s="3"/>
      <c r="I93" s="4"/>
      <c r="J93" s="3"/>
      <c r="K93" s="3"/>
      <c r="L93" s="3"/>
      <c r="M93" s="87" t="s">
        <v>137</v>
      </c>
      <c r="N93" s="127">
        <f t="shared" si="22"/>
        <v>0</v>
      </c>
      <c r="O93" s="128">
        <f t="shared" si="16"/>
        <v>0</v>
      </c>
      <c r="P93" s="3"/>
      <c r="Q93" s="3"/>
      <c r="R93" s="3"/>
      <c r="S93" s="3"/>
      <c r="T93" s="3"/>
      <c r="U93" s="3"/>
      <c r="V93" s="3"/>
      <c r="W93" s="3"/>
      <c r="X93" s="127">
        <f t="shared" si="23"/>
        <v>0</v>
      </c>
      <c r="Y93" s="3"/>
      <c r="Z93" s="3"/>
      <c r="AA93" s="3"/>
      <c r="AB93" s="3"/>
      <c r="AC93" s="127">
        <f t="shared" si="24"/>
        <v>0</v>
      </c>
      <c r="AD93" s="3"/>
      <c r="AE93" s="3"/>
      <c r="AF93" s="3"/>
      <c r="AG93" s="3"/>
      <c r="AH93" s="127">
        <f t="shared" si="18"/>
        <v>0</v>
      </c>
      <c r="AI93" s="3"/>
      <c r="AJ93" s="3"/>
      <c r="AK93" s="3"/>
      <c r="AL93" s="3"/>
      <c r="AM93" s="127">
        <f t="shared" si="19"/>
        <v>0</v>
      </c>
      <c r="AN93" s="3"/>
      <c r="AO93" s="3"/>
      <c r="AP93" s="3"/>
      <c r="AQ93" s="3"/>
    </row>
    <row r="94" spans="1:43" ht="35.450000000000003" customHeight="1" thickBot="1">
      <c r="A94" s="72" t="s">
        <v>65</v>
      </c>
      <c r="B94" s="104"/>
      <c r="C94" s="129"/>
      <c r="D94" s="130"/>
      <c r="E94" s="130"/>
      <c r="F94" s="3"/>
      <c r="G94" s="3"/>
      <c r="H94" s="3"/>
      <c r="I94" s="4"/>
      <c r="J94" s="3"/>
      <c r="K94" s="3"/>
      <c r="L94" s="3"/>
      <c r="M94" s="87" t="s">
        <v>138</v>
      </c>
      <c r="N94" s="127">
        <f t="shared" si="22"/>
        <v>0</v>
      </c>
      <c r="O94" s="128">
        <f t="shared" si="16"/>
        <v>0</v>
      </c>
      <c r="P94" s="3"/>
      <c r="Q94" s="3"/>
      <c r="R94" s="3"/>
      <c r="S94" s="3"/>
      <c r="T94" s="3"/>
      <c r="U94" s="3"/>
      <c r="V94" s="3"/>
      <c r="W94" s="3"/>
      <c r="X94" s="127">
        <f t="shared" si="23"/>
        <v>0</v>
      </c>
      <c r="Y94" s="3"/>
      <c r="Z94" s="3"/>
      <c r="AA94" s="3"/>
      <c r="AB94" s="3"/>
      <c r="AC94" s="127">
        <f t="shared" si="24"/>
        <v>0</v>
      </c>
      <c r="AD94" s="3"/>
      <c r="AE94" s="3"/>
      <c r="AF94" s="3"/>
      <c r="AG94" s="3"/>
      <c r="AH94" s="127">
        <f t="shared" si="18"/>
        <v>0</v>
      </c>
      <c r="AI94" s="3"/>
      <c r="AJ94" s="3"/>
      <c r="AK94" s="3"/>
      <c r="AL94" s="3"/>
      <c r="AM94" s="127">
        <f t="shared" si="19"/>
        <v>0</v>
      </c>
      <c r="AN94" s="3"/>
      <c r="AO94" s="3"/>
      <c r="AP94" s="3"/>
      <c r="AQ94" s="3"/>
    </row>
    <row r="95" spans="1:43" ht="35.450000000000003" customHeight="1" thickBot="1">
      <c r="A95" s="72" t="s">
        <v>65</v>
      </c>
      <c r="B95" s="104"/>
      <c r="C95" s="129"/>
      <c r="D95" s="130"/>
      <c r="E95" s="130"/>
      <c r="F95" s="3"/>
      <c r="G95" s="3"/>
      <c r="H95" s="3"/>
      <c r="I95" s="4"/>
      <c r="J95" s="3"/>
      <c r="K95" s="3"/>
      <c r="L95" s="3"/>
      <c r="M95" s="87" t="s">
        <v>139</v>
      </c>
      <c r="N95" s="127">
        <f t="shared" si="22"/>
        <v>0</v>
      </c>
      <c r="O95" s="128">
        <f t="shared" si="16"/>
        <v>0</v>
      </c>
      <c r="P95" s="3"/>
      <c r="Q95" s="3"/>
      <c r="R95" s="3"/>
      <c r="S95" s="3"/>
      <c r="T95" s="3"/>
      <c r="U95" s="3"/>
      <c r="V95" s="3"/>
      <c r="W95" s="3"/>
      <c r="X95" s="127">
        <f t="shared" si="23"/>
        <v>0</v>
      </c>
      <c r="Y95" s="3"/>
      <c r="Z95" s="3"/>
      <c r="AA95" s="3"/>
      <c r="AB95" s="3"/>
      <c r="AC95" s="127">
        <f t="shared" si="24"/>
        <v>0</v>
      </c>
      <c r="AD95" s="3"/>
      <c r="AE95" s="3"/>
      <c r="AF95" s="3"/>
      <c r="AG95" s="3"/>
      <c r="AH95" s="127">
        <f t="shared" si="18"/>
        <v>0</v>
      </c>
      <c r="AI95" s="3"/>
      <c r="AJ95" s="3"/>
      <c r="AK95" s="3"/>
      <c r="AL95" s="3"/>
      <c r="AM95" s="127">
        <f t="shared" si="19"/>
        <v>0</v>
      </c>
      <c r="AN95" s="3"/>
      <c r="AO95" s="3"/>
      <c r="AP95" s="3"/>
      <c r="AQ95" s="3"/>
    </row>
    <row r="96" spans="1:43" ht="35.450000000000003" customHeight="1" thickBot="1">
      <c r="A96" s="72" t="s">
        <v>65</v>
      </c>
      <c r="B96" s="104"/>
      <c r="C96" s="129"/>
      <c r="D96" s="130"/>
      <c r="E96" s="130"/>
      <c r="F96" s="3"/>
      <c r="G96" s="3"/>
      <c r="H96" s="3"/>
      <c r="I96" s="4"/>
      <c r="J96" s="3"/>
      <c r="K96" s="3"/>
      <c r="L96" s="3"/>
      <c r="M96" s="87" t="s">
        <v>140</v>
      </c>
      <c r="N96" s="127">
        <f t="shared" si="22"/>
        <v>0</v>
      </c>
      <c r="O96" s="128">
        <f t="shared" si="16"/>
        <v>0</v>
      </c>
      <c r="P96" s="3"/>
      <c r="Q96" s="3"/>
      <c r="R96" s="3"/>
      <c r="S96" s="3"/>
      <c r="T96" s="3"/>
      <c r="U96" s="3"/>
      <c r="V96" s="3"/>
      <c r="W96" s="3"/>
      <c r="X96" s="127">
        <f t="shared" si="23"/>
        <v>0</v>
      </c>
      <c r="Y96" s="3"/>
      <c r="Z96" s="3"/>
      <c r="AA96" s="3"/>
      <c r="AB96" s="3"/>
      <c r="AC96" s="127">
        <f t="shared" si="24"/>
        <v>0</v>
      </c>
      <c r="AD96" s="3"/>
      <c r="AE96" s="3"/>
      <c r="AF96" s="3"/>
      <c r="AG96" s="3"/>
      <c r="AH96" s="127">
        <f t="shared" si="18"/>
        <v>0</v>
      </c>
      <c r="AI96" s="3"/>
      <c r="AJ96" s="3"/>
      <c r="AK96" s="3"/>
      <c r="AL96" s="3"/>
      <c r="AM96" s="127">
        <f t="shared" si="19"/>
        <v>0</v>
      </c>
      <c r="AN96" s="3"/>
      <c r="AO96" s="3"/>
      <c r="AP96" s="3"/>
      <c r="AQ96" s="3"/>
    </row>
    <row r="97" spans="1:43" ht="35.450000000000003" customHeight="1" thickBot="1">
      <c r="A97" s="72" t="s">
        <v>65</v>
      </c>
      <c r="B97" s="104"/>
      <c r="C97" s="129"/>
      <c r="D97" s="130"/>
      <c r="E97" s="130"/>
      <c r="F97" s="3"/>
      <c r="G97" s="3"/>
      <c r="H97" s="3"/>
      <c r="I97" s="4"/>
      <c r="J97" s="3"/>
      <c r="K97" s="3"/>
      <c r="L97" s="3"/>
      <c r="M97" s="87" t="s">
        <v>141</v>
      </c>
      <c r="N97" s="127">
        <f t="shared" si="22"/>
        <v>0</v>
      </c>
      <c r="O97" s="128">
        <f t="shared" si="16"/>
        <v>0</v>
      </c>
      <c r="P97" s="3"/>
      <c r="Q97" s="3"/>
      <c r="R97" s="3"/>
      <c r="S97" s="3"/>
      <c r="T97" s="3"/>
      <c r="U97" s="3"/>
      <c r="V97" s="3"/>
      <c r="W97" s="3"/>
      <c r="X97" s="127">
        <f t="shared" si="23"/>
        <v>0</v>
      </c>
      <c r="Y97" s="3"/>
      <c r="Z97" s="3"/>
      <c r="AA97" s="3"/>
      <c r="AB97" s="3">
        <v>0</v>
      </c>
      <c r="AC97" s="127">
        <f t="shared" si="24"/>
        <v>0</v>
      </c>
      <c r="AD97" s="3"/>
      <c r="AE97" s="3"/>
      <c r="AF97" s="3"/>
      <c r="AG97" s="3"/>
      <c r="AH97" s="127">
        <f t="shared" si="18"/>
        <v>0</v>
      </c>
      <c r="AI97" s="3"/>
      <c r="AJ97" s="3"/>
      <c r="AK97" s="3"/>
      <c r="AL97" s="3"/>
      <c r="AM97" s="127">
        <f t="shared" si="19"/>
        <v>0</v>
      </c>
      <c r="AN97" s="3"/>
      <c r="AO97" s="3"/>
      <c r="AP97" s="3"/>
      <c r="AQ97" s="3"/>
    </row>
    <row r="98" spans="1:43" ht="35.450000000000003" customHeight="1" thickBot="1">
      <c r="A98" s="72" t="s">
        <v>65</v>
      </c>
      <c r="B98" s="104"/>
      <c r="C98" s="129"/>
      <c r="D98" s="130"/>
      <c r="E98" s="130"/>
      <c r="F98" s="3"/>
      <c r="G98" s="3"/>
      <c r="H98" s="3"/>
      <c r="I98" s="4"/>
      <c r="J98" s="3"/>
      <c r="K98" s="3"/>
      <c r="L98" s="3"/>
      <c r="M98" s="87" t="s">
        <v>142</v>
      </c>
      <c r="N98" s="127">
        <f t="shared" si="22"/>
        <v>0</v>
      </c>
      <c r="O98" s="128">
        <f t="shared" si="16"/>
        <v>0</v>
      </c>
      <c r="P98" s="3"/>
      <c r="Q98" s="3"/>
      <c r="R98" s="3"/>
      <c r="S98" s="3"/>
      <c r="T98" s="3"/>
      <c r="U98" s="3"/>
      <c r="V98" s="3"/>
      <c r="W98" s="3"/>
      <c r="X98" s="127">
        <f t="shared" si="23"/>
        <v>0</v>
      </c>
      <c r="Y98" s="3"/>
      <c r="Z98" s="3"/>
      <c r="AA98" s="3"/>
      <c r="AB98" s="3"/>
      <c r="AC98" s="127">
        <f t="shared" si="24"/>
        <v>0</v>
      </c>
      <c r="AD98" s="3"/>
      <c r="AE98" s="3"/>
      <c r="AF98" s="3"/>
      <c r="AG98" s="3"/>
      <c r="AH98" s="127">
        <f t="shared" si="18"/>
        <v>0</v>
      </c>
      <c r="AI98" s="3"/>
      <c r="AJ98" s="3"/>
      <c r="AK98" s="3"/>
      <c r="AL98" s="3"/>
      <c r="AM98" s="127">
        <f t="shared" si="19"/>
        <v>0</v>
      </c>
      <c r="AN98" s="3"/>
      <c r="AO98" s="3"/>
      <c r="AP98" s="3"/>
      <c r="AQ98" s="3"/>
    </row>
    <row r="99" spans="1:43" ht="35.450000000000003" customHeight="1" thickBot="1">
      <c r="A99" s="72" t="s">
        <v>65</v>
      </c>
      <c r="B99" s="104"/>
      <c r="C99" s="129"/>
      <c r="D99" s="130"/>
      <c r="E99" s="130"/>
      <c r="F99" s="3"/>
      <c r="G99" s="3"/>
      <c r="H99" s="3"/>
      <c r="I99" s="4"/>
      <c r="J99" s="3"/>
      <c r="K99" s="3"/>
      <c r="L99" s="3"/>
      <c r="M99" s="87" t="s">
        <v>143</v>
      </c>
      <c r="N99" s="127">
        <f t="shared" si="22"/>
        <v>0</v>
      </c>
      <c r="O99" s="128">
        <f t="shared" si="16"/>
        <v>0</v>
      </c>
      <c r="P99" s="3"/>
      <c r="Q99" s="3"/>
      <c r="R99" s="3"/>
      <c r="S99" s="3"/>
      <c r="T99" s="3"/>
      <c r="U99" s="3"/>
      <c r="V99" s="3"/>
      <c r="W99" s="3"/>
      <c r="X99" s="127">
        <f t="shared" si="23"/>
        <v>0</v>
      </c>
      <c r="Y99" s="3"/>
      <c r="Z99" s="3"/>
      <c r="AA99" s="3"/>
      <c r="AB99" s="3"/>
      <c r="AC99" s="127">
        <f t="shared" si="24"/>
        <v>0</v>
      </c>
      <c r="AD99" s="3"/>
      <c r="AE99" s="3"/>
      <c r="AF99" s="3"/>
      <c r="AG99" s="3"/>
      <c r="AH99" s="127">
        <f t="shared" si="18"/>
        <v>0</v>
      </c>
      <c r="AI99" s="3"/>
      <c r="AJ99" s="3"/>
      <c r="AK99" s="3"/>
      <c r="AL99" s="3"/>
      <c r="AM99" s="127">
        <f t="shared" si="19"/>
        <v>0</v>
      </c>
      <c r="AN99" s="3"/>
      <c r="AO99" s="3"/>
      <c r="AP99" s="3"/>
      <c r="AQ99" s="3"/>
    </row>
    <row r="100" spans="1:43" ht="35.450000000000003" customHeight="1" thickBot="1">
      <c r="A100" s="72" t="s">
        <v>65</v>
      </c>
      <c r="B100" s="104"/>
      <c r="C100" s="129"/>
      <c r="D100" s="130"/>
      <c r="E100" s="130"/>
      <c r="F100" s="3"/>
      <c r="G100" s="3"/>
      <c r="H100" s="3"/>
      <c r="I100" s="3"/>
      <c r="J100" s="3"/>
      <c r="K100" s="3"/>
      <c r="L100" s="3"/>
      <c r="M100" s="87" t="s">
        <v>144</v>
      </c>
      <c r="N100" s="127">
        <f t="shared" si="22"/>
        <v>0</v>
      </c>
      <c r="O100" s="128">
        <f t="shared" si="16"/>
        <v>0</v>
      </c>
      <c r="P100" s="3"/>
      <c r="Q100" s="3"/>
      <c r="R100" s="3"/>
      <c r="S100" s="3"/>
      <c r="T100" s="3"/>
      <c r="U100" s="3"/>
      <c r="V100" s="3"/>
      <c r="W100" s="3"/>
      <c r="X100" s="127">
        <f t="shared" si="23"/>
        <v>0</v>
      </c>
      <c r="Y100" s="3"/>
      <c r="Z100" s="3"/>
      <c r="AA100" s="3"/>
      <c r="AB100" s="3"/>
      <c r="AC100" s="127">
        <f t="shared" si="24"/>
        <v>0</v>
      </c>
      <c r="AD100" s="3"/>
      <c r="AE100" s="3"/>
      <c r="AF100" s="3"/>
      <c r="AG100" s="3"/>
      <c r="AH100" s="127">
        <f t="shared" si="18"/>
        <v>0</v>
      </c>
      <c r="AI100" s="3"/>
      <c r="AJ100" s="3"/>
      <c r="AK100" s="3"/>
      <c r="AL100" s="3"/>
      <c r="AM100" s="127">
        <f t="shared" si="19"/>
        <v>0</v>
      </c>
      <c r="AN100" s="3"/>
      <c r="AO100" s="3"/>
      <c r="AP100" s="3"/>
      <c r="AQ100" s="3"/>
    </row>
    <row r="101" spans="1:43" ht="35.450000000000003" customHeight="1" thickBot="1">
      <c r="A101" s="72" t="s">
        <v>65</v>
      </c>
      <c r="B101" s="104"/>
      <c r="C101" s="129"/>
      <c r="D101" s="130"/>
      <c r="E101" s="130"/>
      <c r="F101" s="3"/>
      <c r="G101" s="3"/>
      <c r="H101" s="3"/>
      <c r="I101" s="3"/>
      <c r="J101" s="3"/>
      <c r="K101" s="3"/>
      <c r="L101" s="3"/>
      <c r="M101" s="87" t="s">
        <v>145</v>
      </c>
      <c r="N101" s="127">
        <f t="shared" si="22"/>
        <v>1992.9999999999998</v>
      </c>
      <c r="O101" s="128">
        <f t="shared" si="16"/>
        <v>827.4</v>
      </c>
      <c r="P101" s="3"/>
      <c r="Q101" s="3"/>
      <c r="R101" s="3"/>
      <c r="S101" s="3"/>
      <c r="T101" s="3"/>
      <c r="U101" s="3"/>
      <c r="V101" s="3">
        <f>2845.2-852.2</f>
        <v>1992.9999999999998</v>
      </c>
      <c r="W101" s="3">
        <v>827.4</v>
      </c>
      <c r="X101" s="127">
        <f t="shared" si="23"/>
        <v>1285.3</v>
      </c>
      <c r="Y101" s="3"/>
      <c r="Z101" s="3"/>
      <c r="AA101" s="3"/>
      <c r="AB101" s="3">
        <f>1368-86.7+4</f>
        <v>1285.3</v>
      </c>
      <c r="AC101" s="127">
        <f t="shared" si="24"/>
        <v>0</v>
      </c>
      <c r="AD101" s="3"/>
      <c r="AE101" s="3"/>
      <c r="AF101" s="3"/>
      <c r="AG101" s="3"/>
      <c r="AH101" s="127">
        <f t="shared" si="18"/>
        <v>0</v>
      </c>
      <c r="AI101" s="3"/>
      <c r="AJ101" s="3"/>
      <c r="AK101" s="3"/>
      <c r="AL101" s="3"/>
      <c r="AM101" s="127">
        <f t="shared" si="19"/>
        <v>0</v>
      </c>
      <c r="AN101" s="3"/>
      <c r="AO101" s="3"/>
      <c r="AP101" s="3"/>
      <c r="AQ101" s="3"/>
    </row>
    <row r="102" spans="1:43" ht="35.450000000000003" customHeight="1" thickBot="1">
      <c r="A102" s="72" t="s">
        <v>65</v>
      </c>
      <c r="B102" s="104"/>
      <c r="C102" s="129"/>
      <c r="D102" s="130"/>
      <c r="E102" s="130"/>
      <c r="F102" s="3"/>
      <c r="G102" s="3"/>
      <c r="H102" s="3"/>
      <c r="I102" s="3"/>
      <c r="J102" s="3"/>
      <c r="K102" s="3"/>
      <c r="L102" s="3"/>
      <c r="M102" s="87" t="s">
        <v>146</v>
      </c>
      <c r="N102" s="127">
        <f t="shared" si="22"/>
        <v>0</v>
      </c>
      <c r="O102" s="128">
        <f t="shared" si="16"/>
        <v>0</v>
      </c>
      <c r="P102" s="3"/>
      <c r="Q102" s="3"/>
      <c r="R102" s="3"/>
      <c r="S102" s="3"/>
      <c r="T102" s="3"/>
      <c r="U102" s="3"/>
      <c r="V102" s="3"/>
      <c r="W102" s="3"/>
      <c r="X102" s="127">
        <f t="shared" si="23"/>
        <v>0</v>
      </c>
      <c r="Y102" s="3"/>
      <c r="Z102" s="3"/>
      <c r="AA102" s="3"/>
      <c r="AB102" s="3"/>
      <c r="AC102" s="127">
        <f t="shared" si="24"/>
        <v>0</v>
      </c>
      <c r="AD102" s="3"/>
      <c r="AE102" s="3"/>
      <c r="AF102" s="3"/>
      <c r="AG102" s="3"/>
      <c r="AH102" s="127">
        <f t="shared" si="18"/>
        <v>0</v>
      </c>
      <c r="AI102" s="3"/>
      <c r="AJ102" s="3"/>
      <c r="AK102" s="3"/>
      <c r="AL102" s="3"/>
      <c r="AM102" s="127">
        <f t="shared" si="19"/>
        <v>0</v>
      </c>
      <c r="AN102" s="3"/>
      <c r="AO102" s="3"/>
      <c r="AP102" s="3"/>
      <c r="AQ102" s="3"/>
    </row>
    <row r="103" spans="1:43" ht="35.450000000000003" customHeight="1" thickBot="1">
      <c r="A103" s="72" t="s">
        <v>65</v>
      </c>
      <c r="B103" s="104"/>
      <c r="C103" s="129"/>
      <c r="D103" s="130"/>
      <c r="E103" s="130"/>
      <c r="F103" s="3"/>
      <c r="G103" s="3"/>
      <c r="H103" s="3"/>
      <c r="I103" s="4"/>
      <c r="J103" s="3"/>
      <c r="K103" s="3"/>
      <c r="L103" s="3"/>
      <c r="M103" s="87" t="s">
        <v>147</v>
      </c>
      <c r="N103" s="127">
        <f t="shared" si="22"/>
        <v>0</v>
      </c>
      <c r="O103" s="128">
        <f t="shared" si="16"/>
        <v>0</v>
      </c>
      <c r="P103" s="3"/>
      <c r="Q103" s="3"/>
      <c r="R103" s="3"/>
      <c r="S103" s="3"/>
      <c r="T103" s="3"/>
      <c r="U103" s="3"/>
      <c r="V103" s="3"/>
      <c r="W103" s="3"/>
      <c r="X103" s="127">
        <f t="shared" si="23"/>
        <v>0</v>
      </c>
      <c r="Y103" s="3"/>
      <c r="Z103" s="3"/>
      <c r="AA103" s="3"/>
      <c r="AB103" s="3"/>
      <c r="AC103" s="127">
        <f t="shared" si="24"/>
        <v>0</v>
      </c>
      <c r="AD103" s="3"/>
      <c r="AE103" s="3"/>
      <c r="AF103" s="3"/>
      <c r="AG103" s="3"/>
      <c r="AH103" s="127">
        <f t="shared" si="18"/>
        <v>0</v>
      </c>
      <c r="AI103" s="3"/>
      <c r="AJ103" s="3"/>
      <c r="AK103" s="3"/>
      <c r="AL103" s="3"/>
      <c r="AM103" s="127">
        <f t="shared" si="19"/>
        <v>0</v>
      </c>
      <c r="AN103" s="3"/>
      <c r="AO103" s="3"/>
      <c r="AP103" s="3"/>
      <c r="AQ103" s="3"/>
    </row>
    <row r="104" spans="1:43" ht="35.450000000000003" customHeight="1" thickBot="1">
      <c r="A104" s="72" t="s">
        <v>65</v>
      </c>
      <c r="B104" s="104"/>
      <c r="C104" s="138"/>
      <c r="D104" s="139"/>
      <c r="E104" s="139"/>
      <c r="F104" s="3"/>
      <c r="G104" s="3"/>
      <c r="H104" s="3"/>
      <c r="I104" s="4"/>
      <c r="J104" s="3"/>
      <c r="K104" s="3"/>
      <c r="L104" s="3"/>
      <c r="M104" s="87" t="s">
        <v>148</v>
      </c>
      <c r="N104" s="127">
        <f t="shared" si="22"/>
        <v>0</v>
      </c>
      <c r="O104" s="128">
        <f t="shared" si="16"/>
        <v>0</v>
      </c>
      <c r="P104" s="3"/>
      <c r="Q104" s="3"/>
      <c r="R104" s="3"/>
      <c r="S104" s="3"/>
      <c r="T104" s="3"/>
      <c r="U104" s="3"/>
      <c r="V104" s="3"/>
      <c r="W104" s="3"/>
      <c r="X104" s="127">
        <f t="shared" si="23"/>
        <v>0</v>
      </c>
      <c r="Y104" s="3"/>
      <c r="Z104" s="3"/>
      <c r="AA104" s="3"/>
      <c r="AB104" s="3"/>
      <c r="AC104" s="127">
        <f t="shared" si="24"/>
        <v>0</v>
      </c>
      <c r="AD104" s="3"/>
      <c r="AE104" s="3"/>
      <c r="AF104" s="3"/>
      <c r="AG104" s="3"/>
      <c r="AH104" s="127">
        <f t="shared" si="18"/>
        <v>0</v>
      </c>
      <c r="AI104" s="3"/>
      <c r="AJ104" s="3"/>
      <c r="AK104" s="3"/>
      <c r="AL104" s="3"/>
      <c r="AM104" s="127">
        <f t="shared" si="19"/>
        <v>0</v>
      </c>
      <c r="AN104" s="3"/>
      <c r="AO104" s="3"/>
      <c r="AP104" s="3"/>
      <c r="AQ104" s="3"/>
    </row>
    <row r="105" spans="1:43" ht="35.450000000000003" customHeight="1">
      <c r="A105" s="74" t="s">
        <v>30</v>
      </c>
      <c r="B105" s="140"/>
      <c r="C105" s="121"/>
      <c r="D105" s="141"/>
      <c r="E105" s="141"/>
      <c r="F105" s="141"/>
      <c r="G105" s="141"/>
      <c r="H105" s="141"/>
      <c r="I105" s="4"/>
      <c r="J105" s="141"/>
      <c r="K105" s="141"/>
      <c r="L105" s="141"/>
      <c r="M105" s="87" t="s">
        <v>149</v>
      </c>
      <c r="N105" s="127">
        <f t="shared" si="22"/>
        <v>0</v>
      </c>
      <c r="O105" s="128">
        <f t="shared" si="16"/>
        <v>0</v>
      </c>
      <c r="P105" s="3"/>
      <c r="Q105" s="3"/>
      <c r="R105" s="3"/>
      <c r="S105" s="3"/>
      <c r="T105" s="3"/>
      <c r="U105" s="3"/>
      <c r="V105" s="3"/>
      <c r="W105" s="3"/>
      <c r="X105" s="127">
        <f t="shared" si="23"/>
        <v>0</v>
      </c>
      <c r="Y105" s="3"/>
      <c r="Z105" s="3"/>
      <c r="AA105" s="3"/>
      <c r="AB105" s="3"/>
      <c r="AC105" s="127">
        <f t="shared" si="24"/>
        <v>0</v>
      </c>
      <c r="AD105" s="3"/>
      <c r="AE105" s="3"/>
      <c r="AF105" s="3"/>
      <c r="AG105" s="3"/>
      <c r="AH105" s="127">
        <f t="shared" si="18"/>
        <v>0</v>
      </c>
      <c r="AI105" s="3"/>
      <c r="AJ105" s="3"/>
      <c r="AK105" s="3"/>
      <c r="AL105" s="3"/>
      <c r="AM105" s="127">
        <f t="shared" si="19"/>
        <v>0</v>
      </c>
      <c r="AN105" s="3"/>
      <c r="AO105" s="3"/>
      <c r="AP105" s="3"/>
      <c r="AQ105" s="3"/>
    </row>
    <row r="106" spans="1:43" ht="35.450000000000003" customHeight="1">
      <c r="A106" s="74" t="s">
        <v>30</v>
      </c>
      <c r="B106" s="140"/>
      <c r="C106" s="121"/>
      <c r="D106" s="141"/>
      <c r="E106" s="141"/>
      <c r="F106" s="141"/>
      <c r="G106" s="141"/>
      <c r="H106" s="141"/>
      <c r="I106" s="4"/>
      <c r="J106" s="141"/>
      <c r="K106" s="141"/>
      <c r="L106" s="141"/>
      <c r="M106" s="87" t="s">
        <v>150</v>
      </c>
      <c r="N106" s="127">
        <f t="shared" si="22"/>
        <v>0</v>
      </c>
      <c r="O106" s="128">
        <f t="shared" si="16"/>
        <v>0</v>
      </c>
      <c r="P106" s="3"/>
      <c r="Q106" s="3"/>
      <c r="R106" s="3"/>
      <c r="S106" s="3"/>
      <c r="T106" s="3"/>
      <c r="U106" s="3"/>
      <c r="V106" s="3"/>
      <c r="W106" s="3"/>
      <c r="X106" s="127">
        <f t="shared" si="23"/>
        <v>0</v>
      </c>
      <c r="Y106" s="3"/>
      <c r="Z106" s="3"/>
      <c r="AA106" s="3"/>
      <c r="AB106" s="3"/>
      <c r="AC106" s="127">
        <f t="shared" si="24"/>
        <v>0</v>
      </c>
      <c r="AD106" s="3"/>
      <c r="AE106" s="3"/>
      <c r="AF106" s="3"/>
      <c r="AG106" s="3"/>
      <c r="AH106" s="127">
        <f t="shared" si="18"/>
        <v>0</v>
      </c>
      <c r="AI106" s="3"/>
      <c r="AJ106" s="3"/>
      <c r="AK106" s="3"/>
      <c r="AL106" s="3"/>
      <c r="AM106" s="127">
        <f t="shared" si="19"/>
        <v>0</v>
      </c>
      <c r="AN106" s="3"/>
      <c r="AO106" s="3"/>
      <c r="AP106" s="3"/>
      <c r="AQ106" s="3"/>
    </row>
    <row r="107" spans="1:43" ht="35.450000000000003" customHeight="1">
      <c r="A107" s="142" t="s">
        <v>151</v>
      </c>
      <c r="B107" s="143">
        <v>2508</v>
      </c>
      <c r="C107" s="144"/>
      <c r="D107" s="145"/>
      <c r="E107" s="145"/>
      <c r="F107" s="145"/>
      <c r="G107" s="145"/>
      <c r="H107" s="145"/>
      <c r="I107" s="145"/>
      <c r="J107" s="145"/>
      <c r="K107" s="145"/>
      <c r="L107" s="145">
        <v>18</v>
      </c>
      <c r="M107" s="5"/>
      <c r="N107" s="67">
        <f t="shared" ref="N107:W107" si="25">N113+N114+N116+N117+N120+N121+N122+N123+N124+N125+N129+N131+N133+N135+N136+N137+N138+N139+N140+N141+N148+N149+N151+N126+N130+N132+N703+N144+N108+N110+N115+N150+N109+N146+N147+N118+N143+N111+N112</f>
        <v>501886.39999999997</v>
      </c>
      <c r="O107" s="67">
        <f t="shared" si="25"/>
        <v>421540.69999999995</v>
      </c>
      <c r="P107" s="67">
        <f t="shared" si="25"/>
        <v>2256.0999999999995</v>
      </c>
      <c r="Q107" s="67">
        <f t="shared" si="25"/>
        <v>2255.8000000000002</v>
      </c>
      <c r="R107" s="67">
        <f t="shared" si="25"/>
        <v>487623.7</v>
      </c>
      <c r="S107" s="67">
        <f t="shared" si="25"/>
        <v>407897.8</v>
      </c>
      <c r="T107" s="67">
        <f t="shared" si="25"/>
        <v>0</v>
      </c>
      <c r="U107" s="67">
        <f t="shared" si="25"/>
        <v>0</v>
      </c>
      <c r="V107" s="67">
        <f t="shared" si="25"/>
        <v>12006.6</v>
      </c>
      <c r="W107" s="67">
        <f t="shared" si="25"/>
        <v>11387.1</v>
      </c>
      <c r="X107" s="67">
        <f>X113+X114+X116+X117+X120+X121+X122+X123+X124+X125+X129+X131+X133+X135+X136+X137+X138+X139+X140+X141+X148+X149+X151+X126+X130+X132+X144+X108+X110+X115+X150+X109+X146+X145+X142+X143+X147</f>
        <v>35114.6</v>
      </c>
      <c r="Y107" s="67">
        <f>Y113+Y114+Y116+Y117+Y120+Y121+Y122+Y123+Y124+Y125+Y129+Y131+Y133+Y135+Y136+Y137+Y138+Y139+Y140+Y141+Y148+Y149+Y151+Y126+Y130+Y132+Y144+Y108+Y110+Y115+Y150+Y109+Y146+Y145+Y142+Y143+Y147</f>
        <v>1048.0999999999999</v>
      </c>
      <c r="Z107" s="67">
        <f>Z113+Z114+Z116+Z117+Z120+Z121+Z122+Z123+Z124+Z125+Z129+Z131+Z133+Z135+Z136+Z137+Z138+Z139+Z140+Z141+Z148+Z149+Z151+Z126+Z130+Z132+Z144+Z108+Z110+Z115+Z150+Z109+Z146+Z145+Z142+Z143+Z147</f>
        <v>21202.6</v>
      </c>
      <c r="AA107" s="67">
        <f>AA113+AA114+AA116+AA117+AA120+AA121+AA122+AA123+AA124+AA125+AA129+AA131+AA133+AA135+AA136+AA137+AA138+AA139+AA140+AA141+AA148+AA149+AA151+AA126+AA130+AA132+AA144+AA108+AA110+AA115+AA150+AA109+AA146+AA145+AA142+AA143+AA147</f>
        <v>0</v>
      </c>
      <c r="AB107" s="67">
        <f>AB113+AB114+AB116+AB117+AB120+AB121+AB122+AB123+AB124+AB125+AB129+AB131+AB133+AB135+AB136+AB137+AB138+AB139+AB140+AB141+AB148+AB149+AB151+AB126+AB130+AB132+AB144+AB108+AB110+AB115+AB150+AB109+AB146+AB145+AB142+AB143+AB147</f>
        <v>12863.9</v>
      </c>
      <c r="AC107" s="67">
        <f t="shared" ref="AC107:AQ107" si="26">AC113+AC114+AC116+AC117+AC120+AC121+AC122+AC123+AC124+AC125+AC129+AC131+AC133+AC135+AC136+AC137+AC138+AC139+AC140+AC141+AC148+AC149+AC151+AC126+AC130+AC132+AC144+AC108+AC110+AC115+AC150+AC109+AC146+AC145+AC142+AC143</f>
        <v>9709.4</v>
      </c>
      <c r="AD107" s="67">
        <f t="shared" si="26"/>
        <v>913.5</v>
      </c>
      <c r="AE107" s="67">
        <f t="shared" si="26"/>
        <v>3446.5</v>
      </c>
      <c r="AF107" s="67">
        <f t="shared" si="26"/>
        <v>0</v>
      </c>
      <c r="AG107" s="67">
        <f t="shared" si="26"/>
        <v>5349.4</v>
      </c>
      <c r="AH107" s="67">
        <f t="shared" si="26"/>
        <v>9749.7999999999993</v>
      </c>
      <c r="AI107" s="67">
        <f t="shared" si="26"/>
        <v>906.9</v>
      </c>
      <c r="AJ107" s="67">
        <f t="shared" si="26"/>
        <v>3493.5</v>
      </c>
      <c r="AK107" s="67">
        <f t="shared" si="26"/>
        <v>0</v>
      </c>
      <c r="AL107" s="67">
        <f t="shared" si="26"/>
        <v>5349.4</v>
      </c>
      <c r="AM107" s="67">
        <f t="shared" si="26"/>
        <v>9749.7999999999993</v>
      </c>
      <c r="AN107" s="67">
        <f t="shared" si="26"/>
        <v>906.9</v>
      </c>
      <c r="AO107" s="67">
        <f t="shared" si="26"/>
        <v>3493.5</v>
      </c>
      <c r="AP107" s="67">
        <f t="shared" si="26"/>
        <v>0</v>
      </c>
      <c r="AQ107" s="67">
        <f t="shared" si="26"/>
        <v>5349.4</v>
      </c>
    </row>
    <row r="108" spans="1:43" ht="35.450000000000003" customHeight="1">
      <c r="A108" s="146" t="s">
        <v>98</v>
      </c>
      <c r="B108" s="91"/>
      <c r="C108" s="18" t="s">
        <v>152</v>
      </c>
      <c r="D108" s="147" t="s">
        <v>153</v>
      </c>
      <c r="E108" s="148">
        <v>39448</v>
      </c>
      <c r="F108" s="3"/>
      <c r="G108" s="3"/>
      <c r="H108" s="3"/>
      <c r="I108" s="85" t="s">
        <v>21</v>
      </c>
      <c r="J108" s="85" t="s">
        <v>154</v>
      </c>
      <c r="K108" s="86" t="s">
        <v>23</v>
      </c>
      <c r="L108" s="3"/>
      <c r="M108" s="87" t="s">
        <v>155</v>
      </c>
      <c r="N108" s="149">
        <f>P108+R108+T108+V108</f>
        <v>0</v>
      </c>
      <c r="O108" s="149">
        <f>Q108+S108+U108+W108</f>
        <v>0</v>
      </c>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row>
    <row r="109" spans="1:43" ht="35.450000000000003" customHeight="1">
      <c r="A109" s="146" t="s">
        <v>98</v>
      </c>
      <c r="B109" s="91"/>
      <c r="C109" s="150"/>
      <c r="D109" s="151"/>
      <c r="E109" s="152"/>
      <c r="F109" s="3"/>
      <c r="G109" s="3"/>
      <c r="H109" s="3"/>
      <c r="I109" s="153"/>
      <c r="J109" s="154"/>
      <c r="K109" s="135"/>
      <c r="L109" s="3"/>
      <c r="M109" s="87" t="s">
        <v>156</v>
      </c>
      <c r="N109" s="149">
        <f t="shared" ref="N109:O151" si="27">P109+R109+T109+V109</f>
        <v>0</v>
      </c>
      <c r="O109" s="149">
        <f t="shared" si="27"/>
        <v>0</v>
      </c>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row>
    <row r="110" spans="1:43" ht="35.450000000000003" customHeight="1">
      <c r="A110" s="146" t="s">
        <v>98</v>
      </c>
      <c r="B110" s="91"/>
      <c r="C110" s="150"/>
      <c r="D110" s="151"/>
      <c r="E110" s="152"/>
      <c r="F110" s="3"/>
      <c r="G110" s="3"/>
      <c r="H110" s="3"/>
      <c r="I110" s="155"/>
      <c r="J110" s="155"/>
      <c r="K110" s="155"/>
      <c r="L110" s="3"/>
      <c r="M110" s="87" t="s">
        <v>157</v>
      </c>
      <c r="N110" s="149">
        <f t="shared" si="27"/>
        <v>0</v>
      </c>
      <c r="O110" s="149">
        <f t="shared" si="27"/>
        <v>0</v>
      </c>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row>
    <row r="111" spans="1:43" ht="35.450000000000003" customHeight="1">
      <c r="A111" s="146" t="s">
        <v>98</v>
      </c>
      <c r="B111" s="156"/>
      <c r="C111" s="150"/>
      <c r="D111" s="151"/>
      <c r="E111" s="152"/>
      <c r="F111" s="157"/>
      <c r="G111" s="157"/>
      <c r="H111" s="157"/>
      <c r="I111" s="155"/>
      <c r="J111" s="155"/>
      <c r="K111" s="155"/>
      <c r="L111" s="158"/>
      <c r="M111" s="87" t="s">
        <v>158</v>
      </c>
      <c r="N111" s="149">
        <f t="shared" si="27"/>
        <v>57119.6</v>
      </c>
      <c r="O111" s="149">
        <f t="shared" si="27"/>
        <v>55629.1</v>
      </c>
      <c r="P111" s="149"/>
      <c r="Q111" s="149"/>
      <c r="R111" s="149">
        <v>57119.6</v>
      </c>
      <c r="S111" s="149">
        <v>55629.1</v>
      </c>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row>
    <row r="112" spans="1:43" ht="35.450000000000003" customHeight="1">
      <c r="A112" s="146" t="s">
        <v>98</v>
      </c>
      <c r="B112" s="156"/>
      <c r="C112" s="150"/>
      <c r="D112" s="151"/>
      <c r="E112" s="152"/>
      <c r="F112" s="157"/>
      <c r="G112" s="157"/>
      <c r="H112" s="157"/>
      <c r="I112" s="155"/>
      <c r="J112" s="155"/>
      <c r="K112" s="155"/>
      <c r="L112" s="158"/>
      <c r="M112" s="87" t="s">
        <v>159</v>
      </c>
      <c r="N112" s="149">
        <f t="shared" si="27"/>
        <v>5.7</v>
      </c>
      <c r="O112" s="149">
        <f t="shared" si="27"/>
        <v>5.7</v>
      </c>
      <c r="P112" s="149"/>
      <c r="Q112" s="149"/>
      <c r="R112" s="149"/>
      <c r="S112" s="149"/>
      <c r="T112" s="149"/>
      <c r="U112" s="149"/>
      <c r="V112" s="149">
        <v>5.7</v>
      </c>
      <c r="W112" s="149">
        <v>5.7</v>
      </c>
      <c r="X112" s="149"/>
      <c r="Y112" s="149"/>
      <c r="Z112" s="149"/>
      <c r="AA112" s="149"/>
      <c r="AB112" s="149"/>
      <c r="AC112" s="149"/>
      <c r="AD112" s="149"/>
      <c r="AE112" s="149"/>
      <c r="AF112" s="149"/>
      <c r="AG112" s="149"/>
      <c r="AH112" s="149"/>
      <c r="AI112" s="149"/>
      <c r="AJ112" s="149"/>
      <c r="AK112" s="149"/>
      <c r="AL112" s="149"/>
      <c r="AM112" s="149"/>
      <c r="AN112" s="149"/>
      <c r="AO112" s="149"/>
      <c r="AP112" s="149"/>
      <c r="AQ112" s="149"/>
    </row>
    <row r="113" spans="1:43" ht="35.450000000000003" customHeight="1">
      <c r="A113" s="74" t="s">
        <v>14</v>
      </c>
      <c r="B113" s="140"/>
      <c r="C113" s="150"/>
      <c r="D113" s="151"/>
      <c r="E113" s="152"/>
      <c r="F113" s="157"/>
      <c r="G113" s="157"/>
      <c r="H113" s="157"/>
      <c r="I113" s="155"/>
      <c r="J113" s="155"/>
      <c r="K113" s="155"/>
      <c r="L113" s="158"/>
      <c r="M113" s="87" t="s">
        <v>160</v>
      </c>
      <c r="N113" s="149">
        <f t="shared" si="27"/>
        <v>0</v>
      </c>
      <c r="O113" s="149">
        <f t="shared" si="27"/>
        <v>0</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row>
    <row r="114" spans="1:43" ht="35.450000000000003" customHeight="1">
      <c r="A114" s="146" t="s">
        <v>14</v>
      </c>
      <c r="B114" s="91"/>
      <c r="C114" s="150"/>
      <c r="D114" s="151"/>
      <c r="E114" s="152"/>
      <c r="F114" s="3"/>
      <c r="G114" s="3"/>
      <c r="H114" s="3"/>
      <c r="I114" s="155"/>
      <c r="J114" s="155"/>
      <c r="K114" s="155"/>
      <c r="L114" s="3"/>
      <c r="M114" s="87" t="s">
        <v>161</v>
      </c>
      <c r="N114" s="149">
        <f t="shared" si="27"/>
        <v>0</v>
      </c>
      <c r="O114" s="149">
        <f t="shared" si="27"/>
        <v>0</v>
      </c>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row>
    <row r="115" spans="1:43" ht="35.450000000000003" customHeight="1">
      <c r="A115" s="146" t="s">
        <v>14</v>
      </c>
      <c r="B115" s="91"/>
      <c r="C115" s="150"/>
      <c r="D115" s="151"/>
      <c r="E115" s="152"/>
      <c r="F115" s="3"/>
      <c r="G115" s="3"/>
      <c r="H115" s="3"/>
      <c r="I115" s="155"/>
      <c r="J115" s="155"/>
      <c r="K115" s="155"/>
      <c r="L115" s="3"/>
      <c r="M115" s="87" t="s">
        <v>162</v>
      </c>
      <c r="N115" s="149">
        <f t="shared" si="27"/>
        <v>0</v>
      </c>
      <c r="O115" s="149">
        <f t="shared" si="27"/>
        <v>0</v>
      </c>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row>
    <row r="116" spans="1:43" ht="35.450000000000003" customHeight="1">
      <c r="A116" s="146" t="s">
        <v>14</v>
      </c>
      <c r="B116" s="91"/>
      <c r="C116" s="150"/>
      <c r="D116" s="151"/>
      <c r="E116" s="152"/>
      <c r="F116" s="3"/>
      <c r="G116" s="3"/>
      <c r="H116" s="3"/>
      <c r="I116" s="155"/>
      <c r="J116" s="155"/>
      <c r="K116" s="155"/>
      <c r="L116" s="3"/>
      <c r="M116" s="87" t="s">
        <v>163</v>
      </c>
      <c r="N116" s="149">
        <f t="shared" si="27"/>
        <v>0</v>
      </c>
      <c r="O116" s="149">
        <f t="shared" si="27"/>
        <v>0</v>
      </c>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row>
    <row r="117" spans="1:43" ht="35.450000000000003" customHeight="1">
      <c r="A117" s="146" t="s">
        <v>14</v>
      </c>
      <c r="B117" s="91"/>
      <c r="C117" s="150"/>
      <c r="D117" s="151"/>
      <c r="E117" s="152"/>
      <c r="F117" s="3"/>
      <c r="G117" s="3"/>
      <c r="H117" s="3"/>
      <c r="I117" s="155"/>
      <c r="J117" s="155"/>
      <c r="K117" s="155"/>
      <c r="L117" s="3"/>
      <c r="M117" s="87" t="s">
        <v>164</v>
      </c>
      <c r="N117" s="149">
        <f t="shared" si="27"/>
        <v>0</v>
      </c>
      <c r="O117" s="149">
        <f t="shared" si="27"/>
        <v>0</v>
      </c>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row>
    <row r="118" spans="1:43" ht="35.450000000000003" customHeight="1">
      <c r="A118" s="146" t="s">
        <v>14</v>
      </c>
      <c r="B118" s="91"/>
      <c r="C118" s="150"/>
      <c r="D118" s="151"/>
      <c r="E118" s="152"/>
      <c r="F118" s="3"/>
      <c r="G118" s="3"/>
      <c r="H118" s="3"/>
      <c r="I118" s="155"/>
      <c r="J118" s="155"/>
      <c r="K118" s="155"/>
      <c r="L118" s="3"/>
      <c r="M118" s="87" t="s">
        <v>165</v>
      </c>
      <c r="N118" s="149">
        <f t="shared" si="27"/>
        <v>0</v>
      </c>
      <c r="O118" s="149">
        <f t="shared" si="27"/>
        <v>0</v>
      </c>
      <c r="P118" s="3"/>
      <c r="Q118" s="3"/>
      <c r="R118" s="3"/>
      <c r="S118" s="3"/>
      <c r="T118" s="3"/>
      <c r="U118" s="3"/>
      <c r="V118" s="3">
        <f>331500.8-246712.7-25988.6-58799.5</f>
        <v>0</v>
      </c>
      <c r="W118" s="3"/>
      <c r="X118" s="3"/>
      <c r="Y118" s="3"/>
      <c r="Z118" s="3"/>
      <c r="AA118" s="3"/>
      <c r="AB118" s="3"/>
      <c r="AC118" s="3"/>
      <c r="AD118" s="3"/>
      <c r="AE118" s="3"/>
      <c r="AF118" s="3"/>
      <c r="AG118" s="3"/>
      <c r="AH118" s="3"/>
      <c r="AI118" s="3"/>
      <c r="AJ118" s="3"/>
      <c r="AK118" s="3"/>
      <c r="AL118" s="3"/>
      <c r="AM118" s="3"/>
      <c r="AN118" s="3"/>
      <c r="AO118" s="3"/>
      <c r="AP118" s="3"/>
      <c r="AQ118" s="3"/>
    </row>
    <row r="119" spans="1:43" ht="35.450000000000003" customHeight="1">
      <c r="A119" s="146" t="s">
        <v>14</v>
      </c>
      <c r="B119" s="91"/>
      <c r="C119" s="150"/>
      <c r="D119" s="151"/>
      <c r="E119" s="152"/>
      <c r="F119" s="3"/>
      <c r="G119" s="3"/>
      <c r="H119" s="3"/>
      <c r="I119" s="155"/>
      <c r="J119" s="155"/>
      <c r="K119" s="155"/>
      <c r="L119" s="3"/>
      <c r="M119" s="87" t="s">
        <v>166</v>
      </c>
      <c r="N119" s="149">
        <f t="shared" si="27"/>
        <v>0</v>
      </c>
      <c r="O119" s="149">
        <f t="shared" si="27"/>
        <v>0</v>
      </c>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row>
    <row r="120" spans="1:43" ht="35.450000000000003" customHeight="1">
      <c r="A120" s="146" t="s">
        <v>14</v>
      </c>
      <c r="B120" s="91"/>
      <c r="C120" s="150"/>
      <c r="D120" s="151"/>
      <c r="E120" s="152"/>
      <c r="F120" s="3"/>
      <c r="G120" s="3"/>
      <c r="H120" s="3"/>
      <c r="I120" s="155"/>
      <c r="J120" s="155"/>
      <c r="K120" s="155"/>
      <c r="L120" s="3"/>
      <c r="M120" s="87" t="s">
        <v>167</v>
      </c>
      <c r="N120" s="149">
        <f t="shared" si="27"/>
        <v>0</v>
      </c>
      <c r="O120" s="149">
        <f t="shared" si="27"/>
        <v>0</v>
      </c>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row>
    <row r="121" spans="1:43" ht="35.450000000000003" customHeight="1">
      <c r="A121" s="146" t="s">
        <v>14</v>
      </c>
      <c r="B121" s="91"/>
      <c r="C121" s="150"/>
      <c r="D121" s="151"/>
      <c r="E121" s="152"/>
      <c r="F121" s="3"/>
      <c r="G121" s="3"/>
      <c r="H121" s="3"/>
      <c r="I121" s="155"/>
      <c r="J121" s="155"/>
      <c r="K121" s="155"/>
      <c r="L121" s="3"/>
      <c r="M121" s="87" t="s">
        <v>168</v>
      </c>
      <c r="N121" s="149">
        <f t="shared" si="27"/>
        <v>0</v>
      </c>
      <c r="O121" s="149">
        <f t="shared" si="27"/>
        <v>0</v>
      </c>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row>
    <row r="122" spans="1:43" ht="35.450000000000003" customHeight="1">
      <c r="A122" s="146" t="s">
        <v>14</v>
      </c>
      <c r="B122" s="91"/>
      <c r="C122" s="150"/>
      <c r="D122" s="151"/>
      <c r="E122" s="152"/>
      <c r="F122" s="3"/>
      <c r="G122" s="3"/>
      <c r="H122" s="3"/>
      <c r="I122" s="159"/>
      <c r="J122" s="159"/>
      <c r="K122" s="159"/>
      <c r="L122" s="3"/>
      <c r="M122" s="87" t="s">
        <v>169</v>
      </c>
      <c r="N122" s="149">
        <f t="shared" si="27"/>
        <v>0</v>
      </c>
      <c r="O122" s="149">
        <f t="shared" si="27"/>
        <v>0</v>
      </c>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row>
    <row r="123" spans="1:43" ht="35.450000000000003" customHeight="1">
      <c r="A123" s="146" t="s">
        <v>14</v>
      </c>
      <c r="B123" s="91"/>
      <c r="C123" s="150"/>
      <c r="D123" s="151"/>
      <c r="E123" s="152"/>
      <c r="F123" s="158"/>
      <c r="G123" s="158"/>
      <c r="H123" s="158"/>
      <c r="I123" s="91"/>
      <c r="J123" s="4"/>
      <c r="K123" s="64"/>
      <c r="L123" s="3"/>
      <c r="M123" s="87" t="s">
        <v>170</v>
      </c>
      <c r="N123" s="149">
        <f t="shared" si="27"/>
        <v>0</v>
      </c>
      <c r="O123" s="149">
        <f t="shared" si="27"/>
        <v>0</v>
      </c>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row>
    <row r="124" spans="1:43" ht="35.450000000000003" customHeight="1">
      <c r="A124" s="146" t="s">
        <v>14</v>
      </c>
      <c r="B124" s="91"/>
      <c r="C124" s="150"/>
      <c r="D124" s="151"/>
      <c r="E124" s="152"/>
      <c r="F124" s="158"/>
      <c r="G124" s="158"/>
      <c r="H124" s="158"/>
      <c r="I124" s="91"/>
      <c r="J124" s="4"/>
      <c r="K124" s="64"/>
      <c r="L124" s="3"/>
      <c r="M124" s="87" t="s">
        <v>171</v>
      </c>
      <c r="N124" s="149">
        <f t="shared" si="27"/>
        <v>53542.9</v>
      </c>
      <c r="O124" s="149">
        <f t="shared" si="27"/>
        <v>0</v>
      </c>
      <c r="P124" s="3"/>
      <c r="Q124" s="3"/>
      <c r="R124" s="3">
        <v>53542.9</v>
      </c>
      <c r="S124" s="3">
        <v>0</v>
      </c>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row>
    <row r="125" spans="1:43" ht="35.450000000000003" customHeight="1">
      <c r="A125" s="146" t="s">
        <v>14</v>
      </c>
      <c r="B125" s="91"/>
      <c r="C125" s="150"/>
      <c r="D125" s="151"/>
      <c r="E125" s="152"/>
      <c r="F125" s="131" t="s">
        <v>1300</v>
      </c>
      <c r="G125" s="131" t="s">
        <v>1293</v>
      </c>
      <c r="H125" s="131" t="s">
        <v>1301</v>
      </c>
      <c r="I125" s="131" t="s">
        <v>1302</v>
      </c>
      <c r="J125" s="131" t="s">
        <v>153</v>
      </c>
      <c r="K125" s="131" t="s">
        <v>1303</v>
      </c>
      <c r="L125" s="131"/>
      <c r="M125" s="87" t="s">
        <v>172</v>
      </c>
      <c r="N125" s="149">
        <f t="shared" si="27"/>
        <v>535.4</v>
      </c>
      <c r="O125" s="149">
        <f t="shared" si="27"/>
        <v>0</v>
      </c>
      <c r="P125" s="3"/>
      <c r="Q125" s="3"/>
      <c r="R125" s="3"/>
      <c r="S125" s="3"/>
      <c r="T125" s="3"/>
      <c r="U125" s="3"/>
      <c r="V125" s="3">
        <f>250.4+285</f>
        <v>535.4</v>
      </c>
      <c r="W125" s="3">
        <v>0</v>
      </c>
      <c r="X125" s="3">
        <f>Y125+Z125+AB125</f>
        <v>17950</v>
      </c>
      <c r="Y125" s="3"/>
      <c r="Z125" s="3">
        <v>17772.3</v>
      </c>
      <c r="AA125" s="3"/>
      <c r="AB125" s="3">
        <v>177.7</v>
      </c>
      <c r="AC125" s="3"/>
      <c r="AD125" s="3"/>
      <c r="AE125" s="3"/>
      <c r="AF125" s="3"/>
      <c r="AG125" s="3"/>
      <c r="AH125" s="3"/>
      <c r="AI125" s="3"/>
      <c r="AJ125" s="3"/>
      <c r="AK125" s="3"/>
      <c r="AL125" s="3"/>
      <c r="AM125" s="3"/>
      <c r="AN125" s="3"/>
      <c r="AO125" s="3"/>
      <c r="AP125" s="3"/>
      <c r="AQ125" s="3"/>
    </row>
    <row r="126" spans="1:43" ht="35.450000000000003" customHeight="1">
      <c r="A126" s="146" t="s">
        <v>14</v>
      </c>
      <c r="B126" s="91"/>
      <c r="C126" s="150"/>
      <c r="D126" s="151"/>
      <c r="E126" s="152"/>
      <c r="F126" s="3"/>
      <c r="G126" s="3"/>
      <c r="H126" s="3"/>
      <c r="I126" s="91"/>
      <c r="J126" s="4"/>
      <c r="K126" s="64"/>
      <c r="L126" s="3"/>
      <c r="M126" s="87" t="s">
        <v>173</v>
      </c>
      <c r="N126" s="149">
        <f t="shared" si="27"/>
        <v>0</v>
      </c>
      <c r="O126" s="149">
        <f t="shared" si="27"/>
        <v>0</v>
      </c>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row>
    <row r="127" spans="1:43" ht="35.450000000000003" customHeight="1">
      <c r="A127" s="146" t="s">
        <v>14</v>
      </c>
      <c r="B127" s="91"/>
      <c r="C127" s="150"/>
      <c r="D127" s="151"/>
      <c r="E127" s="152"/>
      <c r="F127" s="3"/>
      <c r="G127" s="3"/>
      <c r="H127" s="3"/>
      <c r="I127" s="91"/>
      <c r="J127" s="4"/>
      <c r="K127" s="64"/>
      <c r="L127" s="3"/>
      <c r="M127" s="87" t="s">
        <v>174</v>
      </c>
      <c r="N127" s="149">
        <f t="shared" si="27"/>
        <v>0</v>
      </c>
      <c r="O127" s="149">
        <f t="shared" si="27"/>
        <v>0</v>
      </c>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row>
    <row r="128" spans="1:43" ht="35.450000000000003" customHeight="1">
      <c r="A128" s="146" t="s">
        <v>14</v>
      </c>
      <c r="B128" s="91"/>
      <c r="C128" s="150"/>
      <c r="D128" s="151"/>
      <c r="E128" s="152"/>
      <c r="F128" s="3"/>
      <c r="G128" s="3"/>
      <c r="H128" s="3"/>
      <c r="I128" s="91"/>
      <c r="J128" s="4"/>
      <c r="K128" s="64"/>
      <c r="L128" s="3"/>
      <c r="M128" s="87" t="s">
        <v>175</v>
      </c>
      <c r="N128" s="149">
        <f t="shared" si="27"/>
        <v>0</v>
      </c>
      <c r="O128" s="149">
        <f t="shared" si="27"/>
        <v>0</v>
      </c>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row>
    <row r="129" spans="1:43" ht="35.450000000000003" customHeight="1">
      <c r="A129" s="146" t="s">
        <v>14</v>
      </c>
      <c r="B129" s="160"/>
      <c r="C129" s="150"/>
      <c r="D129" s="151"/>
      <c r="E129" s="152"/>
      <c r="F129" s="5"/>
      <c r="G129" s="5"/>
      <c r="H129" s="5"/>
      <c r="I129" s="91"/>
      <c r="J129" s="4"/>
      <c r="K129" s="64"/>
      <c r="L129" s="3"/>
      <c r="M129" s="87" t="s">
        <v>176</v>
      </c>
      <c r="N129" s="149">
        <f t="shared" si="27"/>
        <v>266139.90000000002</v>
      </c>
      <c r="O129" s="149">
        <f t="shared" si="27"/>
        <v>258621.2</v>
      </c>
      <c r="P129" s="3"/>
      <c r="Q129" s="3"/>
      <c r="R129" s="3">
        <f>20000+37249.3+168890.6+40000</f>
        <v>266139.90000000002</v>
      </c>
      <c r="S129" s="3">
        <v>258621.2</v>
      </c>
      <c r="T129" s="3"/>
      <c r="U129" s="3"/>
      <c r="V129" s="3"/>
      <c r="W129" s="3"/>
      <c r="X129" s="3">
        <f>Y129+Z129+AA129+AB129</f>
        <v>0</v>
      </c>
      <c r="Y129" s="3"/>
      <c r="Z129" s="3">
        <v>0</v>
      </c>
      <c r="AA129" s="3"/>
      <c r="AB129" s="3"/>
      <c r="AC129" s="3">
        <f>AD129+AE129+AF129+AG129</f>
        <v>0</v>
      </c>
      <c r="AD129" s="3"/>
      <c r="AE129" s="3">
        <v>0</v>
      </c>
      <c r="AF129" s="3"/>
      <c r="AG129" s="3"/>
      <c r="AH129" s="3">
        <f>AJ129</f>
        <v>0</v>
      </c>
      <c r="AI129" s="3"/>
      <c r="AJ129" s="3">
        <v>0</v>
      </c>
      <c r="AK129" s="3"/>
      <c r="AL129" s="3"/>
      <c r="AM129" s="3">
        <f>AO129</f>
        <v>0</v>
      </c>
      <c r="AN129" s="3"/>
      <c r="AO129" s="3">
        <v>0</v>
      </c>
      <c r="AP129" s="3"/>
      <c r="AQ129" s="3"/>
    </row>
    <row r="130" spans="1:43" ht="35.450000000000003" customHeight="1">
      <c r="A130" s="146" t="s">
        <v>14</v>
      </c>
      <c r="B130" s="160"/>
      <c r="C130" s="150"/>
      <c r="D130" s="151"/>
      <c r="E130" s="152"/>
      <c r="F130" s="5"/>
      <c r="G130" s="5"/>
      <c r="H130" s="5"/>
      <c r="I130" s="91"/>
      <c r="J130" s="4"/>
      <c r="K130" s="64"/>
      <c r="L130" s="3"/>
      <c r="M130" s="87" t="s">
        <v>177</v>
      </c>
      <c r="N130" s="149">
        <f t="shared" si="27"/>
        <v>0</v>
      </c>
      <c r="O130" s="149">
        <f t="shared" si="27"/>
        <v>0</v>
      </c>
      <c r="P130" s="3"/>
      <c r="Q130" s="3"/>
      <c r="R130" s="3"/>
      <c r="S130" s="3"/>
      <c r="T130" s="3"/>
      <c r="U130" s="3"/>
      <c r="V130" s="3"/>
      <c r="W130" s="3"/>
      <c r="X130" s="3"/>
      <c r="Y130" s="3"/>
      <c r="Z130" s="3"/>
      <c r="AA130" s="3"/>
      <c r="AB130" s="3"/>
      <c r="AC130" s="3"/>
      <c r="AD130" s="3"/>
      <c r="AE130" s="3"/>
      <c r="AF130" s="3"/>
      <c r="AG130" s="3"/>
      <c r="AH130" s="3">
        <f>AJ130</f>
        <v>0</v>
      </c>
      <c r="AI130" s="3"/>
      <c r="AJ130" s="3"/>
      <c r="AK130" s="3"/>
      <c r="AL130" s="3"/>
      <c r="AM130" s="3">
        <f>AO130</f>
        <v>0</v>
      </c>
      <c r="AN130" s="3"/>
      <c r="AO130" s="3"/>
      <c r="AP130" s="3"/>
      <c r="AQ130" s="3"/>
    </row>
    <row r="131" spans="1:43" ht="35.450000000000003" customHeight="1">
      <c r="A131" s="146" t="s">
        <v>14</v>
      </c>
      <c r="B131" s="160"/>
      <c r="C131" s="150"/>
      <c r="D131" s="151"/>
      <c r="E131" s="152"/>
      <c r="F131" s="5"/>
      <c r="G131" s="5"/>
      <c r="H131" s="5"/>
      <c r="I131" s="91"/>
      <c r="J131" s="4"/>
      <c r="K131" s="64"/>
      <c r="L131" s="3"/>
      <c r="M131" s="87" t="s">
        <v>178</v>
      </c>
      <c r="N131" s="149">
        <f t="shared" si="27"/>
        <v>106067.3</v>
      </c>
      <c r="O131" s="149">
        <f t="shared" si="27"/>
        <v>88893.6</v>
      </c>
      <c r="P131" s="3"/>
      <c r="Q131" s="3"/>
      <c r="R131" s="3">
        <f>64464+29287.5+1451.9-1585+77822.1-65373.2</f>
        <v>106067.3</v>
      </c>
      <c r="S131" s="3">
        <v>88893.6</v>
      </c>
      <c r="T131" s="3"/>
      <c r="U131" s="3"/>
      <c r="V131" s="3"/>
      <c r="W131" s="3"/>
      <c r="X131" s="3">
        <f>Y131+Z131+AA131+AB131</f>
        <v>0</v>
      </c>
      <c r="Y131" s="3"/>
      <c r="Z131" s="3">
        <v>0</v>
      </c>
      <c r="AA131" s="3"/>
      <c r="AB131" s="3"/>
      <c r="AC131" s="3">
        <f>AD131+AE131+AF131+AG131</f>
        <v>0</v>
      </c>
      <c r="AD131" s="3"/>
      <c r="AE131" s="3">
        <v>0</v>
      </c>
      <c r="AF131" s="3"/>
      <c r="AG131" s="3"/>
      <c r="AH131" s="3">
        <f>AJ131</f>
        <v>0</v>
      </c>
      <c r="AI131" s="3"/>
      <c r="AJ131" s="3"/>
      <c r="AK131" s="3"/>
      <c r="AL131" s="3"/>
      <c r="AM131" s="3">
        <f>AO131</f>
        <v>0</v>
      </c>
      <c r="AN131" s="3"/>
      <c r="AO131" s="3"/>
      <c r="AP131" s="3"/>
      <c r="AQ131" s="3"/>
    </row>
    <row r="132" spans="1:43" ht="35.450000000000003" customHeight="1">
      <c r="A132" s="146" t="s">
        <v>14</v>
      </c>
      <c r="B132" s="160"/>
      <c r="C132" s="150"/>
      <c r="D132" s="151"/>
      <c r="E132" s="152"/>
      <c r="F132" s="5"/>
      <c r="G132" s="5"/>
      <c r="H132" s="5"/>
      <c r="I132" s="91"/>
      <c r="J132" s="4"/>
      <c r="K132" s="64"/>
      <c r="L132" s="3"/>
      <c r="M132" s="87" t="s">
        <v>179</v>
      </c>
      <c r="N132" s="149">
        <f t="shared" si="27"/>
        <v>1585</v>
      </c>
      <c r="O132" s="149">
        <f t="shared" si="27"/>
        <v>1585</v>
      </c>
      <c r="P132" s="3"/>
      <c r="Q132" s="3"/>
      <c r="R132" s="3">
        <v>1585</v>
      </c>
      <c r="S132" s="3">
        <v>1585</v>
      </c>
      <c r="T132" s="3"/>
      <c r="U132" s="3"/>
      <c r="V132" s="3"/>
      <c r="W132" s="3"/>
      <c r="X132" s="3">
        <f>Y132+Z132+AA132+AB132</f>
        <v>0</v>
      </c>
      <c r="Y132" s="3"/>
      <c r="Z132" s="3"/>
      <c r="AA132" s="3"/>
      <c r="AB132" s="3"/>
      <c r="AC132" s="3">
        <f>AD132+AE132+AF132+AG132</f>
        <v>0</v>
      </c>
      <c r="AD132" s="3"/>
      <c r="AE132" s="3"/>
      <c r="AF132" s="3"/>
      <c r="AG132" s="3"/>
      <c r="AH132" s="3">
        <f>AJ132</f>
        <v>0</v>
      </c>
      <c r="AI132" s="3"/>
      <c r="AJ132" s="3"/>
      <c r="AK132" s="3"/>
      <c r="AL132" s="3"/>
      <c r="AM132" s="3">
        <f>AO132</f>
        <v>0</v>
      </c>
      <c r="AN132" s="3"/>
      <c r="AO132" s="3"/>
      <c r="AP132" s="3"/>
      <c r="AQ132" s="3"/>
    </row>
    <row r="133" spans="1:43" ht="35.450000000000003" customHeight="1">
      <c r="A133" s="146" t="s">
        <v>14</v>
      </c>
      <c r="B133" s="160"/>
      <c r="C133" s="150"/>
      <c r="D133" s="151"/>
      <c r="E133" s="152"/>
      <c r="F133" s="5"/>
      <c r="G133" s="5"/>
      <c r="H133" s="5"/>
      <c r="I133" s="91"/>
      <c r="J133" s="4"/>
      <c r="K133" s="64"/>
      <c r="L133" s="3"/>
      <c r="M133" s="87" t="s">
        <v>180</v>
      </c>
      <c r="N133" s="149">
        <f t="shared" si="27"/>
        <v>0</v>
      </c>
      <c r="O133" s="149">
        <f t="shared" si="27"/>
        <v>0</v>
      </c>
      <c r="P133" s="3"/>
      <c r="Q133" s="3"/>
      <c r="R133" s="3"/>
      <c r="S133" s="3"/>
      <c r="T133" s="3"/>
      <c r="U133" s="3"/>
      <c r="V133" s="3"/>
      <c r="W133" s="3"/>
      <c r="X133" s="3">
        <f>Y133+Z133+AA133+AB133</f>
        <v>0</v>
      </c>
      <c r="Y133" s="3"/>
      <c r="Z133" s="3"/>
      <c r="AA133" s="3"/>
      <c r="AB133" s="3"/>
      <c r="AC133" s="3">
        <f>AD133+AE133+AF133+AG133</f>
        <v>0</v>
      </c>
      <c r="AD133" s="3"/>
      <c r="AE133" s="3"/>
      <c r="AF133" s="3"/>
      <c r="AG133" s="3"/>
      <c r="AH133" s="3">
        <f>AI133+AJ133+AK133+AL133</f>
        <v>0</v>
      </c>
      <c r="AI133" s="3"/>
      <c r="AJ133" s="3"/>
      <c r="AK133" s="3"/>
      <c r="AL133" s="3"/>
      <c r="AM133" s="3">
        <f>AN133+AO133+AP133+AQ133</f>
        <v>0</v>
      </c>
      <c r="AN133" s="3"/>
      <c r="AO133" s="3"/>
      <c r="AP133" s="3"/>
      <c r="AQ133" s="3"/>
    </row>
    <row r="134" spans="1:43" ht="35.450000000000003" customHeight="1">
      <c r="A134" s="146" t="s">
        <v>14</v>
      </c>
      <c r="B134" s="160"/>
      <c r="C134" s="150"/>
      <c r="D134" s="151"/>
      <c r="E134" s="152"/>
      <c r="F134" s="5"/>
      <c r="G134" s="5"/>
      <c r="H134" s="5"/>
      <c r="I134" s="91"/>
      <c r="J134" s="4"/>
      <c r="K134" s="64"/>
      <c r="L134" s="3"/>
      <c r="M134" s="87" t="s">
        <v>181</v>
      </c>
      <c r="N134" s="149">
        <f t="shared" si="27"/>
        <v>0</v>
      </c>
      <c r="O134" s="149">
        <f t="shared" si="27"/>
        <v>0</v>
      </c>
      <c r="P134" s="3"/>
      <c r="Q134" s="3"/>
      <c r="R134" s="3"/>
      <c r="S134" s="3"/>
      <c r="T134" s="3"/>
      <c r="U134" s="3"/>
      <c r="V134" s="3"/>
      <c r="W134" s="3"/>
      <c r="X134" s="3">
        <f>Y134+Z134+AA134+AB134</f>
        <v>0</v>
      </c>
      <c r="Y134" s="3"/>
      <c r="Z134" s="3"/>
      <c r="AA134" s="3"/>
      <c r="AB134" s="3"/>
      <c r="AC134" s="3">
        <f>AD134+AE134+AF134+AG134</f>
        <v>0</v>
      </c>
      <c r="AD134" s="3"/>
      <c r="AE134" s="3"/>
      <c r="AF134" s="3"/>
      <c r="AG134" s="3"/>
      <c r="AH134" s="3">
        <f>AI134+AJ134+AK134+AL134</f>
        <v>0</v>
      </c>
      <c r="AI134" s="3"/>
      <c r="AJ134" s="3"/>
      <c r="AK134" s="3"/>
      <c r="AL134" s="3"/>
      <c r="AM134" s="3">
        <f>AN134+AO134+AP134+AQ134</f>
        <v>0</v>
      </c>
      <c r="AN134" s="3"/>
      <c r="AO134" s="3"/>
      <c r="AP134" s="3"/>
      <c r="AQ134" s="3"/>
    </row>
    <row r="135" spans="1:43" ht="35.450000000000003" customHeight="1">
      <c r="A135" s="146" t="s">
        <v>14</v>
      </c>
      <c r="B135" s="160"/>
      <c r="C135" s="150"/>
      <c r="D135" s="151"/>
      <c r="E135" s="152"/>
      <c r="F135" s="5"/>
      <c r="G135" s="5"/>
      <c r="H135" s="5"/>
      <c r="I135" s="91"/>
      <c r="J135" s="4"/>
      <c r="K135" s="64"/>
      <c r="L135" s="3"/>
      <c r="M135" s="131" t="s">
        <v>182</v>
      </c>
      <c r="N135" s="149">
        <f t="shared" si="27"/>
        <v>437</v>
      </c>
      <c r="O135" s="149">
        <f t="shared" si="27"/>
        <v>437</v>
      </c>
      <c r="P135" s="3"/>
      <c r="Q135" s="3"/>
      <c r="R135" s="3"/>
      <c r="S135" s="3"/>
      <c r="T135" s="3"/>
      <c r="U135" s="3"/>
      <c r="V135" s="3">
        <f>100+400-63</f>
        <v>437</v>
      </c>
      <c r="W135" s="3">
        <v>437</v>
      </c>
      <c r="X135" s="3">
        <f>Y135+Z135+AA135+AB135</f>
        <v>0</v>
      </c>
      <c r="Y135" s="3"/>
      <c r="Z135" s="3"/>
      <c r="AA135" s="3"/>
      <c r="AB135" s="3">
        <v>0</v>
      </c>
      <c r="AC135" s="3">
        <f>AD135+AE135+AF135+AG135</f>
        <v>100</v>
      </c>
      <c r="AD135" s="3"/>
      <c r="AE135" s="3"/>
      <c r="AF135" s="3"/>
      <c r="AG135" s="3">
        <v>100</v>
      </c>
      <c r="AH135" s="3">
        <f>AI135+AJ135+AK135+AL135</f>
        <v>100</v>
      </c>
      <c r="AI135" s="3"/>
      <c r="AJ135" s="3"/>
      <c r="AK135" s="3"/>
      <c r="AL135" s="3">
        <v>100</v>
      </c>
      <c r="AM135" s="3">
        <f>AN135+AO135+AP135+AQ135</f>
        <v>100</v>
      </c>
      <c r="AN135" s="3"/>
      <c r="AO135" s="3"/>
      <c r="AP135" s="3"/>
      <c r="AQ135" s="3">
        <v>100</v>
      </c>
    </row>
    <row r="136" spans="1:43" ht="35.450000000000003" customHeight="1">
      <c r="A136" s="146" t="s">
        <v>65</v>
      </c>
      <c r="B136" s="91"/>
      <c r="C136" s="150"/>
      <c r="D136" s="151"/>
      <c r="E136" s="152"/>
      <c r="F136" s="3"/>
      <c r="G136" s="3"/>
      <c r="H136" s="3"/>
      <c r="I136" s="154" t="s">
        <v>183</v>
      </c>
      <c r="J136" s="154" t="s">
        <v>153</v>
      </c>
      <c r="K136" s="135" t="s">
        <v>184</v>
      </c>
      <c r="L136" s="3"/>
      <c r="M136" s="87" t="s">
        <v>185</v>
      </c>
      <c r="N136" s="149">
        <f t="shared" si="27"/>
        <v>699.40000000000009</v>
      </c>
      <c r="O136" s="149">
        <f t="shared" si="27"/>
        <v>653.20000000000005</v>
      </c>
      <c r="P136" s="3"/>
      <c r="Q136" s="3"/>
      <c r="R136" s="3"/>
      <c r="S136" s="3"/>
      <c r="T136" s="3"/>
      <c r="U136" s="3"/>
      <c r="V136" s="3">
        <f>1249.4-550</f>
        <v>699.40000000000009</v>
      </c>
      <c r="W136" s="3">
        <v>653.20000000000005</v>
      </c>
      <c r="X136" s="3">
        <f>AB136</f>
        <v>574.40000000000009</v>
      </c>
      <c r="Y136" s="3"/>
      <c r="Z136" s="3"/>
      <c r="AA136" s="3"/>
      <c r="AB136" s="3">
        <f>1249.4-677-2+4</f>
        <v>574.40000000000009</v>
      </c>
      <c r="AC136" s="3">
        <f>AG136</f>
        <v>1249.4000000000001</v>
      </c>
      <c r="AD136" s="3"/>
      <c r="AE136" s="3"/>
      <c r="AF136" s="3"/>
      <c r="AG136" s="3">
        <v>1249.4000000000001</v>
      </c>
      <c r="AH136" s="3">
        <f>AL136</f>
        <v>1249.4000000000001</v>
      </c>
      <c r="AI136" s="3"/>
      <c r="AJ136" s="3"/>
      <c r="AK136" s="3"/>
      <c r="AL136" s="3">
        <v>1249.4000000000001</v>
      </c>
      <c r="AM136" s="3">
        <f>AQ136</f>
        <v>1249.4000000000001</v>
      </c>
      <c r="AN136" s="3"/>
      <c r="AO136" s="3"/>
      <c r="AP136" s="3"/>
      <c r="AQ136" s="3">
        <v>1249.4000000000001</v>
      </c>
    </row>
    <row r="137" spans="1:43" ht="35.450000000000003" customHeight="1">
      <c r="A137" s="146" t="s">
        <v>65</v>
      </c>
      <c r="B137" s="91"/>
      <c r="C137" s="150"/>
      <c r="D137" s="151"/>
      <c r="E137" s="152"/>
      <c r="F137" s="3"/>
      <c r="G137" s="3"/>
      <c r="H137" s="3"/>
      <c r="I137" s="4"/>
      <c r="J137" s="3"/>
      <c r="K137" s="3"/>
      <c r="L137" s="3"/>
      <c r="M137" s="87" t="s">
        <v>186</v>
      </c>
      <c r="N137" s="149">
        <f t="shared" si="27"/>
        <v>0</v>
      </c>
      <c r="O137" s="149">
        <f t="shared" si="27"/>
        <v>0</v>
      </c>
      <c r="P137" s="3"/>
      <c r="Q137" s="3"/>
      <c r="R137" s="3"/>
      <c r="S137" s="3"/>
      <c r="T137" s="3"/>
      <c r="U137" s="3"/>
      <c r="V137" s="3"/>
      <c r="W137" s="3"/>
      <c r="X137" s="3">
        <f>AB137</f>
        <v>0</v>
      </c>
      <c r="Y137" s="3"/>
      <c r="Z137" s="3"/>
      <c r="AA137" s="3"/>
      <c r="AB137" s="3"/>
      <c r="AC137" s="3">
        <f>AG137</f>
        <v>0</v>
      </c>
      <c r="AD137" s="3"/>
      <c r="AE137" s="3"/>
      <c r="AF137" s="3"/>
      <c r="AG137" s="3"/>
      <c r="AH137" s="3">
        <f>AL137</f>
        <v>0</v>
      </c>
      <c r="AI137" s="3"/>
      <c r="AJ137" s="3"/>
      <c r="AK137" s="3"/>
      <c r="AL137" s="3"/>
      <c r="AM137" s="3">
        <f>AQ137</f>
        <v>0</v>
      </c>
      <c r="AN137" s="3"/>
      <c r="AO137" s="3"/>
      <c r="AP137" s="3"/>
      <c r="AQ137" s="3"/>
    </row>
    <row r="138" spans="1:43" ht="35.450000000000003" customHeight="1">
      <c r="A138" s="146" t="s">
        <v>65</v>
      </c>
      <c r="B138" s="91"/>
      <c r="C138" s="150"/>
      <c r="D138" s="151"/>
      <c r="E138" s="152"/>
      <c r="F138" s="3"/>
      <c r="G138" s="3"/>
      <c r="H138" s="3"/>
      <c r="I138" s="4"/>
      <c r="J138" s="3"/>
      <c r="K138" s="3"/>
      <c r="L138" s="3"/>
      <c r="M138" s="87" t="s">
        <v>187</v>
      </c>
      <c r="N138" s="149">
        <f t="shared" si="27"/>
        <v>4473.5</v>
      </c>
      <c r="O138" s="149">
        <f t="shared" si="27"/>
        <v>4441.6000000000004</v>
      </c>
      <c r="P138" s="3"/>
      <c r="Q138" s="3"/>
      <c r="R138" s="3"/>
      <c r="S138" s="3"/>
      <c r="T138" s="3"/>
      <c r="U138" s="3"/>
      <c r="V138" s="3">
        <f>200+2400+36.7+280.5-36.8+300+700+772.3-179.3+0.1</f>
        <v>4473.5</v>
      </c>
      <c r="W138" s="3">
        <v>4441.6000000000004</v>
      </c>
      <c r="X138" s="3">
        <f>AB138</f>
        <v>1358.3</v>
      </c>
      <c r="Y138" s="3"/>
      <c r="Z138" s="3"/>
      <c r="AA138" s="3"/>
      <c r="AB138" s="3">
        <f>300+250.6+210.7-2+599</f>
        <v>1358.3</v>
      </c>
      <c r="AC138" s="3">
        <f>AG138</f>
        <v>1000</v>
      </c>
      <c r="AD138" s="3"/>
      <c r="AE138" s="3"/>
      <c r="AF138" s="3"/>
      <c r="AG138" s="3">
        <v>1000</v>
      </c>
      <c r="AH138" s="3">
        <f>AL138</f>
        <v>1000</v>
      </c>
      <c r="AI138" s="3"/>
      <c r="AJ138" s="3"/>
      <c r="AK138" s="3"/>
      <c r="AL138" s="3">
        <v>1000</v>
      </c>
      <c r="AM138" s="3">
        <f>AQ138</f>
        <v>1000</v>
      </c>
      <c r="AN138" s="3"/>
      <c r="AO138" s="3"/>
      <c r="AP138" s="3"/>
      <c r="AQ138" s="3">
        <v>1000</v>
      </c>
    </row>
    <row r="139" spans="1:43" ht="35.450000000000003" customHeight="1">
      <c r="A139" s="146" t="s">
        <v>65</v>
      </c>
      <c r="B139" s="91"/>
      <c r="C139" s="150"/>
      <c r="D139" s="151"/>
      <c r="E139" s="152"/>
      <c r="F139" s="3"/>
      <c r="G139" s="3"/>
      <c r="H139" s="3"/>
      <c r="I139" s="4"/>
      <c r="J139" s="3"/>
      <c r="K139" s="3"/>
      <c r="L139" s="3"/>
      <c r="M139" s="87" t="s">
        <v>188</v>
      </c>
      <c r="N139" s="149">
        <f t="shared" si="27"/>
        <v>0</v>
      </c>
      <c r="O139" s="149">
        <f t="shared" si="27"/>
        <v>0</v>
      </c>
      <c r="P139" s="3"/>
      <c r="Q139" s="3"/>
      <c r="R139" s="3"/>
      <c r="S139" s="3"/>
      <c r="T139" s="3"/>
      <c r="U139" s="3"/>
      <c r="V139" s="3"/>
      <c r="W139" s="3"/>
      <c r="X139" s="3">
        <f t="shared" ref="X139:X147" si="28">AB139</f>
        <v>0</v>
      </c>
      <c r="Y139" s="3"/>
      <c r="Z139" s="3"/>
      <c r="AA139" s="3"/>
      <c r="AB139" s="3"/>
      <c r="AC139" s="3"/>
      <c r="AD139" s="3"/>
      <c r="AE139" s="3"/>
      <c r="AF139" s="3"/>
      <c r="AG139" s="3"/>
      <c r="AH139" s="3"/>
      <c r="AI139" s="3"/>
      <c r="AJ139" s="3"/>
      <c r="AK139" s="3"/>
      <c r="AL139" s="3"/>
      <c r="AM139" s="3"/>
      <c r="AN139" s="3"/>
      <c r="AO139" s="3"/>
      <c r="AP139" s="3"/>
      <c r="AQ139" s="3"/>
    </row>
    <row r="140" spans="1:43" ht="35.450000000000003" customHeight="1">
      <c r="A140" s="146" t="s">
        <v>65</v>
      </c>
      <c r="B140" s="91"/>
      <c r="C140" s="150"/>
      <c r="D140" s="151"/>
      <c r="E140" s="152"/>
      <c r="F140" s="3"/>
      <c r="G140" s="3"/>
      <c r="H140" s="3"/>
      <c r="I140" s="154"/>
      <c r="J140" s="3"/>
      <c r="K140" s="3"/>
      <c r="L140" s="3"/>
      <c r="M140" s="87" t="s">
        <v>189</v>
      </c>
      <c r="N140" s="149">
        <f t="shared" si="27"/>
        <v>0</v>
      </c>
      <c r="O140" s="149">
        <f t="shared" si="27"/>
        <v>0</v>
      </c>
      <c r="P140" s="3"/>
      <c r="Q140" s="3"/>
      <c r="R140" s="3"/>
      <c r="S140" s="3"/>
      <c r="T140" s="3"/>
      <c r="U140" s="3"/>
      <c r="V140" s="3"/>
      <c r="W140" s="3"/>
      <c r="X140" s="3">
        <f t="shared" si="28"/>
        <v>0</v>
      </c>
      <c r="Y140" s="3"/>
      <c r="Z140" s="3"/>
      <c r="AA140" s="3"/>
      <c r="AB140" s="3"/>
      <c r="AC140" s="3"/>
      <c r="AD140" s="3"/>
      <c r="AE140" s="3"/>
      <c r="AF140" s="3"/>
      <c r="AG140" s="3"/>
      <c r="AH140" s="3"/>
      <c r="AI140" s="3"/>
      <c r="AJ140" s="3"/>
      <c r="AK140" s="3"/>
      <c r="AL140" s="3"/>
      <c r="AM140" s="3"/>
      <c r="AN140" s="3"/>
      <c r="AO140" s="3"/>
      <c r="AP140" s="3"/>
      <c r="AQ140" s="3"/>
    </row>
    <row r="141" spans="1:43" ht="35.450000000000003" customHeight="1">
      <c r="A141" s="146" t="s">
        <v>65</v>
      </c>
      <c r="B141" s="91"/>
      <c r="C141" s="161"/>
      <c r="D141" s="162"/>
      <c r="E141" s="163"/>
      <c r="F141" s="3"/>
      <c r="G141" s="3"/>
      <c r="H141" s="3"/>
      <c r="I141" s="154"/>
      <c r="J141" s="3"/>
      <c r="K141" s="3"/>
      <c r="L141" s="3"/>
      <c r="M141" s="87" t="s">
        <v>190</v>
      </c>
      <c r="N141" s="149">
        <f t="shared" si="27"/>
        <v>0</v>
      </c>
      <c r="O141" s="149">
        <f t="shared" si="27"/>
        <v>0</v>
      </c>
      <c r="P141" s="3"/>
      <c r="Q141" s="3"/>
      <c r="R141" s="3"/>
      <c r="S141" s="3"/>
      <c r="T141" s="3"/>
      <c r="U141" s="3"/>
      <c r="V141" s="3"/>
      <c r="W141" s="3"/>
      <c r="X141" s="3">
        <f t="shared" si="28"/>
        <v>0</v>
      </c>
      <c r="Y141" s="3"/>
      <c r="Z141" s="3"/>
      <c r="AA141" s="3"/>
      <c r="AB141" s="3"/>
      <c r="AC141" s="3"/>
      <c r="AD141" s="3"/>
      <c r="AE141" s="3"/>
      <c r="AF141" s="3"/>
      <c r="AG141" s="3"/>
      <c r="AH141" s="3"/>
      <c r="AI141" s="3"/>
      <c r="AJ141" s="3"/>
      <c r="AK141" s="3"/>
      <c r="AL141" s="3"/>
      <c r="AM141" s="3"/>
      <c r="AN141" s="3"/>
      <c r="AO141" s="3"/>
      <c r="AP141" s="3"/>
      <c r="AQ141" s="3"/>
    </row>
    <row r="142" spans="1:43" ht="35.450000000000003" customHeight="1">
      <c r="A142" s="146" t="s">
        <v>30</v>
      </c>
      <c r="B142" s="91"/>
      <c r="C142" s="164" t="s">
        <v>191</v>
      </c>
      <c r="D142" s="164" t="s">
        <v>192</v>
      </c>
      <c r="E142" s="164" t="s">
        <v>193</v>
      </c>
      <c r="F142" s="3"/>
      <c r="G142" s="3"/>
      <c r="H142" s="3"/>
      <c r="I142" s="154"/>
      <c r="J142" s="3"/>
      <c r="K142" s="3"/>
      <c r="L142" s="3"/>
      <c r="M142" s="87" t="s">
        <v>194</v>
      </c>
      <c r="N142" s="149"/>
      <c r="O142" s="149"/>
      <c r="P142" s="3"/>
      <c r="Q142" s="3"/>
      <c r="R142" s="3"/>
      <c r="S142" s="3"/>
      <c r="T142" s="3"/>
      <c r="U142" s="3"/>
      <c r="V142" s="3"/>
      <c r="W142" s="3"/>
      <c r="X142" s="3">
        <f t="shared" si="28"/>
        <v>192.1</v>
      </c>
      <c r="Y142" s="3"/>
      <c r="Z142" s="3"/>
      <c r="AA142" s="3"/>
      <c r="AB142" s="3">
        <v>192.1</v>
      </c>
      <c r="AC142" s="3"/>
      <c r="AD142" s="3"/>
      <c r="AE142" s="3"/>
      <c r="AF142" s="3"/>
      <c r="AG142" s="3"/>
      <c r="AH142" s="3"/>
      <c r="AI142" s="3"/>
      <c r="AJ142" s="3"/>
      <c r="AK142" s="3"/>
      <c r="AL142" s="3"/>
      <c r="AM142" s="3"/>
      <c r="AN142" s="3"/>
      <c r="AO142" s="3"/>
      <c r="AP142" s="3"/>
      <c r="AQ142" s="3"/>
    </row>
    <row r="143" spans="1:43" ht="35.450000000000003" customHeight="1">
      <c r="A143" s="146" t="s">
        <v>30</v>
      </c>
      <c r="B143" s="91"/>
      <c r="C143" s="165"/>
      <c r="D143" s="166"/>
      <c r="E143" s="166"/>
      <c r="F143" s="3"/>
      <c r="G143" s="3"/>
      <c r="H143" s="3"/>
      <c r="I143" s="154"/>
      <c r="J143" s="3"/>
      <c r="K143" s="3"/>
      <c r="L143" s="3"/>
      <c r="M143" s="87" t="s">
        <v>195</v>
      </c>
      <c r="N143" s="149">
        <f t="shared" si="27"/>
        <v>51</v>
      </c>
      <c r="O143" s="149">
        <f t="shared" si="27"/>
        <v>51</v>
      </c>
      <c r="P143" s="3"/>
      <c r="Q143" s="3"/>
      <c r="R143" s="3"/>
      <c r="S143" s="3"/>
      <c r="T143" s="3"/>
      <c r="U143" s="3"/>
      <c r="V143" s="3">
        <v>51</v>
      </c>
      <c r="W143" s="3">
        <v>51</v>
      </c>
      <c r="X143" s="3">
        <f t="shared" si="28"/>
        <v>100</v>
      </c>
      <c r="Y143" s="3"/>
      <c r="Z143" s="3"/>
      <c r="AA143" s="3"/>
      <c r="AB143" s="3">
        <v>100</v>
      </c>
      <c r="AC143" s="3"/>
      <c r="AD143" s="3"/>
      <c r="AE143" s="3"/>
      <c r="AF143" s="3"/>
      <c r="AG143" s="3"/>
      <c r="AH143" s="3"/>
      <c r="AI143" s="3"/>
      <c r="AJ143" s="3"/>
      <c r="AK143" s="3"/>
      <c r="AL143" s="3"/>
      <c r="AM143" s="3"/>
      <c r="AN143" s="3"/>
      <c r="AO143" s="3"/>
      <c r="AP143" s="3"/>
      <c r="AQ143" s="3"/>
    </row>
    <row r="144" spans="1:43" ht="35.450000000000003" customHeight="1">
      <c r="A144" s="146" t="s">
        <v>196</v>
      </c>
      <c r="B144" s="91"/>
      <c r="C144" s="165"/>
      <c r="D144" s="166"/>
      <c r="E144" s="166"/>
      <c r="F144" s="3"/>
      <c r="G144" s="3"/>
      <c r="H144" s="3"/>
      <c r="I144" s="4"/>
      <c r="J144" s="3"/>
      <c r="K144" s="3"/>
      <c r="L144" s="3"/>
      <c r="M144" s="87" t="s">
        <v>197</v>
      </c>
      <c r="N144" s="149">
        <f t="shared" si="27"/>
        <v>1865</v>
      </c>
      <c r="O144" s="149">
        <f t="shared" si="27"/>
        <v>1865</v>
      </c>
      <c r="P144" s="3"/>
      <c r="Q144" s="3"/>
      <c r="R144" s="3"/>
      <c r="S144" s="3"/>
      <c r="T144" s="3"/>
      <c r="U144" s="3"/>
      <c r="V144" s="3">
        <f>36.7+1547.4+35.7+161.1+1504-1419.9</f>
        <v>1865</v>
      </c>
      <c r="W144" s="3">
        <v>1865</v>
      </c>
      <c r="X144" s="3">
        <f t="shared" si="28"/>
        <v>1235.9999999999998</v>
      </c>
      <c r="Y144" s="3"/>
      <c r="Z144" s="3"/>
      <c r="AA144" s="3"/>
      <c r="AB144" s="3">
        <f>2382.6-2294.8+184.5+218.6+131.5+33.9+310.8+218.3+50.7-0.1</f>
        <v>1235.9999999999998</v>
      </c>
      <c r="AC144" s="3"/>
      <c r="AD144" s="3"/>
      <c r="AE144" s="3"/>
      <c r="AF144" s="3"/>
      <c r="AG144" s="3"/>
      <c r="AH144" s="3"/>
      <c r="AI144" s="3"/>
      <c r="AJ144" s="3"/>
      <c r="AK144" s="3"/>
      <c r="AL144" s="3"/>
      <c r="AM144" s="3"/>
      <c r="AN144" s="3"/>
      <c r="AO144" s="3"/>
      <c r="AP144" s="3"/>
      <c r="AQ144" s="3"/>
    </row>
    <row r="145" spans="1:43" ht="35.450000000000003" customHeight="1">
      <c r="A145" s="146" t="s">
        <v>30</v>
      </c>
      <c r="B145" s="91"/>
      <c r="C145" s="165"/>
      <c r="D145" s="166"/>
      <c r="E145" s="166"/>
      <c r="F145" s="3"/>
      <c r="G145" s="3"/>
      <c r="H145" s="3"/>
      <c r="I145" s="154"/>
      <c r="J145" s="3"/>
      <c r="K145" s="3"/>
      <c r="L145" s="3"/>
      <c r="M145" s="87" t="s">
        <v>198</v>
      </c>
      <c r="N145" s="149"/>
      <c r="O145" s="149"/>
      <c r="P145" s="3"/>
      <c r="Q145" s="3"/>
      <c r="R145" s="3"/>
      <c r="S145" s="3"/>
      <c r="T145" s="3"/>
      <c r="U145" s="3"/>
      <c r="V145" s="3"/>
      <c r="W145" s="3"/>
      <c r="X145" s="3">
        <f t="shared" si="28"/>
        <v>2605.1999999999998</v>
      </c>
      <c r="Y145" s="3"/>
      <c r="Z145" s="3"/>
      <c r="AA145" s="3"/>
      <c r="AB145" s="3">
        <f>2382.6+222.6</f>
        <v>2605.1999999999998</v>
      </c>
      <c r="AC145" s="3"/>
      <c r="AD145" s="3"/>
      <c r="AE145" s="3"/>
      <c r="AF145" s="3"/>
      <c r="AG145" s="3"/>
      <c r="AH145" s="3"/>
      <c r="AI145" s="3"/>
      <c r="AJ145" s="3"/>
      <c r="AK145" s="3"/>
      <c r="AL145" s="3"/>
      <c r="AM145" s="3"/>
      <c r="AN145" s="3"/>
      <c r="AO145" s="3"/>
      <c r="AP145" s="3"/>
      <c r="AQ145" s="3"/>
    </row>
    <row r="146" spans="1:43" ht="35.450000000000003" customHeight="1">
      <c r="A146" s="146" t="s">
        <v>196</v>
      </c>
      <c r="B146" s="91"/>
      <c r="C146" s="165"/>
      <c r="D146" s="166"/>
      <c r="E146" s="166"/>
      <c r="F146" s="3"/>
      <c r="G146" s="3"/>
      <c r="H146" s="3"/>
      <c r="I146" s="154"/>
      <c r="J146" s="3"/>
      <c r="K146" s="3"/>
      <c r="L146" s="3"/>
      <c r="M146" s="87" t="s">
        <v>199</v>
      </c>
      <c r="N146" s="149">
        <f t="shared" si="27"/>
        <v>1431.6000000000001</v>
      </c>
      <c r="O146" s="149">
        <f t="shared" si="27"/>
        <v>1431.6</v>
      </c>
      <c r="P146" s="3"/>
      <c r="Q146" s="3"/>
      <c r="R146" s="3"/>
      <c r="S146" s="3"/>
      <c r="T146" s="3"/>
      <c r="U146" s="3"/>
      <c r="V146" s="3">
        <f>11.7+1419.9</f>
        <v>1431.6000000000001</v>
      </c>
      <c r="W146" s="3">
        <v>1431.6</v>
      </c>
      <c r="X146" s="3">
        <f t="shared" si="28"/>
        <v>20.2</v>
      </c>
      <c r="Y146" s="3"/>
      <c r="Z146" s="3"/>
      <c r="AA146" s="3"/>
      <c r="AB146" s="3">
        <v>20.2</v>
      </c>
      <c r="AC146" s="3"/>
      <c r="AD146" s="3"/>
      <c r="AE146" s="3"/>
      <c r="AF146" s="3"/>
      <c r="AG146" s="3"/>
      <c r="AH146" s="3"/>
      <c r="AI146" s="3"/>
      <c r="AJ146" s="3"/>
      <c r="AK146" s="3"/>
      <c r="AL146" s="3"/>
      <c r="AM146" s="3"/>
      <c r="AN146" s="3"/>
      <c r="AO146" s="3"/>
      <c r="AP146" s="3"/>
      <c r="AQ146" s="3"/>
    </row>
    <row r="147" spans="1:43" ht="35.450000000000003" customHeight="1">
      <c r="A147" s="146" t="s">
        <v>200</v>
      </c>
      <c r="B147" s="91"/>
      <c r="C147" s="167"/>
      <c r="D147" s="168"/>
      <c r="E147" s="168"/>
      <c r="F147" s="3"/>
      <c r="G147" s="3"/>
      <c r="H147" s="3"/>
      <c r="I147" s="154"/>
      <c r="J147" s="3"/>
      <c r="K147" s="3"/>
      <c r="L147" s="3"/>
      <c r="M147" s="87" t="s">
        <v>201</v>
      </c>
      <c r="N147" s="149">
        <f t="shared" si="27"/>
        <v>0</v>
      </c>
      <c r="O147" s="149">
        <f t="shared" si="27"/>
        <v>0</v>
      </c>
      <c r="P147" s="3"/>
      <c r="Q147" s="3"/>
      <c r="R147" s="3"/>
      <c r="S147" s="3"/>
      <c r="T147" s="3"/>
      <c r="U147" s="3"/>
      <c r="V147" s="3">
        <f>10000-10000</f>
        <v>0</v>
      </c>
      <c r="W147" s="3"/>
      <c r="X147" s="3">
        <f t="shared" si="28"/>
        <v>3600</v>
      </c>
      <c r="Y147" s="3"/>
      <c r="Z147" s="3"/>
      <c r="AA147" s="3"/>
      <c r="AB147" s="3">
        <v>3600</v>
      </c>
      <c r="AC147" s="3"/>
      <c r="AD147" s="3"/>
      <c r="AE147" s="3"/>
      <c r="AF147" s="3"/>
      <c r="AG147" s="3">
        <v>0</v>
      </c>
      <c r="AH147" s="3"/>
      <c r="AI147" s="3"/>
      <c r="AJ147" s="3"/>
      <c r="AK147" s="3"/>
      <c r="AL147" s="3">
        <v>0</v>
      </c>
      <c r="AM147" s="3"/>
      <c r="AN147" s="3"/>
      <c r="AO147" s="3"/>
      <c r="AP147" s="3"/>
      <c r="AQ147" s="3">
        <v>0</v>
      </c>
    </row>
    <row r="148" spans="1:43" ht="35.450000000000003" customHeight="1">
      <c r="A148" s="3" t="s">
        <v>30</v>
      </c>
      <c r="B148" s="91"/>
      <c r="C148" s="169" t="s">
        <v>152</v>
      </c>
      <c r="D148" s="170">
        <v>1710</v>
      </c>
      <c r="E148" s="171">
        <v>43099</v>
      </c>
      <c r="F148" s="3"/>
      <c r="G148" s="3"/>
      <c r="H148" s="3"/>
      <c r="I148" s="122"/>
      <c r="J148" s="3"/>
      <c r="K148" s="3"/>
      <c r="L148" s="3"/>
      <c r="M148" s="87" t="s">
        <v>202</v>
      </c>
      <c r="N148" s="149">
        <f t="shared" si="27"/>
        <v>0</v>
      </c>
      <c r="O148" s="149">
        <f t="shared" si="27"/>
        <v>0</v>
      </c>
      <c r="P148" s="3"/>
      <c r="Q148" s="3"/>
      <c r="R148" s="3"/>
      <c r="S148" s="3"/>
      <c r="T148" s="3"/>
      <c r="U148" s="3"/>
      <c r="V148" s="3"/>
      <c r="W148" s="3"/>
      <c r="X148" s="3">
        <f>AB148</f>
        <v>0</v>
      </c>
      <c r="Y148" s="3"/>
      <c r="Z148" s="3"/>
      <c r="AA148" s="3"/>
      <c r="AB148" s="3"/>
      <c r="AC148" s="3">
        <f>AG148</f>
        <v>0</v>
      </c>
      <c r="AD148" s="3"/>
      <c r="AE148" s="3"/>
      <c r="AF148" s="3"/>
      <c r="AG148" s="3"/>
      <c r="AH148" s="3">
        <f>AL148</f>
        <v>0</v>
      </c>
      <c r="AI148" s="3"/>
      <c r="AJ148" s="3"/>
      <c r="AK148" s="3"/>
      <c r="AL148" s="3"/>
      <c r="AM148" s="3">
        <f>AQ148</f>
        <v>0</v>
      </c>
      <c r="AN148" s="3"/>
      <c r="AO148" s="3"/>
      <c r="AP148" s="3"/>
      <c r="AQ148" s="3"/>
    </row>
    <row r="149" spans="1:43" ht="35.450000000000003" customHeight="1">
      <c r="A149" s="3" t="s">
        <v>30</v>
      </c>
      <c r="B149" s="91"/>
      <c r="C149" s="172"/>
      <c r="D149" s="173"/>
      <c r="E149" s="173"/>
      <c r="F149" s="87" t="s">
        <v>203</v>
      </c>
      <c r="G149" s="87" t="s">
        <v>204</v>
      </c>
      <c r="H149" s="174">
        <v>41547</v>
      </c>
      <c r="I149" s="175" t="s">
        <v>205</v>
      </c>
      <c r="J149" s="176" t="s">
        <v>206</v>
      </c>
      <c r="K149" s="177">
        <v>45280</v>
      </c>
      <c r="L149" s="3"/>
      <c r="M149" s="87" t="s">
        <v>207</v>
      </c>
      <c r="N149" s="149">
        <f t="shared" si="27"/>
        <v>5904.1</v>
      </c>
      <c r="O149" s="149">
        <f t="shared" si="27"/>
        <v>5904.1</v>
      </c>
      <c r="P149" s="3">
        <v>821.8</v>
      </c>
      <c r="Q149" s="3">
        <v>821.8</v>
      </c>
      <c r="R149" s="3">
        <v>2582.3000000000002</v>
      </c>
      <c r="S149" s="3">
        <v>2582.3000000000002</v>
      </c>
      <c r="T149" s="3"/>
      <c r="U149" s="3"/>
      <c r="V149" s="3">
        <v>2500</v>
      </c>
      <c r="W149" s="3">
        <v>2500</v>
      </c>
      <c r="X149" s="3">
        <f>Y149+Z149+AA149+AB149</f>
        <v>7478.4</v>
      </c>
      <c r="Y149" s="3">
        <v>1048.0999999999999</v>
      </c>
      <c r="Z149" s="3">
        <v>3430.3</v>
      </c>
      <c r="AA149" s="3"/>
      <c r="AB149" s="3">
        <v>3000</v>
      </c>
      <c r="AC149" s="3">
        <f>AD149+AE149+AF149+AG149</f>
        <v>7360</v>
      </c>
      <c r="AD149" s="3">
        <v>913.5</v>
      </c>
      <c r="AE149" s="3">
        <v>3446.5</v>
      </c>
      <c r="AF149" s="3"/>
      <c r="AG149" s="3">
        <v>3000</v>
      </c>
      <c r="AH149" s="3">
        <f>AI149+AJ149+AK149+AL149</f>
        <v>7400.4</v>
      </c>
      <c r="AI149" s="3">
        <v>906.9</v>
      </c>
      <c r="AJ149" s="3">
        <v>3493.5</v>
      </c>
      <c r="AK149" s="3"/>
      <c r="AL149" s="3">
        <f>3000</f>
        <v>3000</v>
      </c>
      <c r="AM149" s="3">
        <f>AN149+AO149+AP149+AQ149</f>
        <v>7400.4</v>
      </c>
      <c r="AN149" s="3">
        <v>906.9</v>
      </c>
      <c r="AO149" s="3">
        <v>3493.5</v>
      </c>
      <c r="AP149" s="3"/>
      <c r="AQ149" s="3">
        <f>3000</f>
        <v>3000</v>
      </c>
    </row>
    <row r="150" spans="1:43" ht="35.450000000000003" customHeight="1">
      <c r="A150" s="3" t="s">
        <v>30</v>
      </c>
      <c r="B150" s="156"/>
      <c r="C150" s="178"/>
      <c r="D150" s="158"/>
      <c r="E150" s="158"/>
      <c r="F150" s="179" t="s">
        <v>208</v>
      </c>
      <c r="G150" s="3" t="s">
        <v>209</v>
      </c>
      <c r="H150" s="180">
        <v>45314</v>
      </c>
      <c r="I150" s="181"/>
      <c r="J150" s="168"/>
      <c r="K150" s="168"/>
      <c r="L150" s="158"/>
      <c r="M150" s="87" t="s">
        <v>210</v>
      </c>
      <c r="N150" s="149">
        <f t="shared" si="27"/>
        <v>2028.9999999999995</v>
      </c>
      <c r="O150" s="149">
        <f>Q150+S150+U150+W150</f>
        <v>2022.6</v>
      </c>
      <c r="P150" s="3">
        <f>5054.7-3620.4</f>
        <v>1434.2999999999997</v>
      </c>
      <c r="Q150" s="3">
        <f>1433.9+0.1</f>
        <v>1434</v>
      </c>
      <c r="R150" s="3">
        <f>2976-2389.3</f>
        <v>586.69999999999982</v>
      </c>
      <c r="S150" s="3">
        <v>586.6</v>
      </c>
      <c r="T150" s="3"/>
      <c r="U150" s="3"/>
      <c r="V150" s="3">
        <v>8</v>
      </c>
      <c r="W150" s="3">
        <v>2</v>
      </c>
      <c r="X150" s="3">
        <f>Y150+Z150+AA150+AB150</f>
        <v>0</v>
      </c>
      <c r="Y150" s="3">
        <v>0</v>
      </c>
      <c r="Z150" s="3">
        <v>0</v>
      </c>
      <c r="AA150" s="3"/>
      <c r="AB150" s="3"/>
      <c r="AC150" s="3">
        <f>AD150+AE150+AF150+AG150</f>
        <v>0</v>
      </c>
      <c r="AD150" s="3">
        <v>0</v>
      </c>
      <c r="AE150" s="3">
        <v>0</v>
      </c>
      <c r="AF150" s="3"/>
      <c r="AG150" s="3"/>
      <c r="AH150" s="3"/>
      <c r="AI150" s="3">
        <v>0</v>
      </c>
      <c r="AJ150" s="3">
        <v>0</v>
      </c>
      <c r="AK150" s="3"/>
      <c r="AL150" s="3"/>
      <c r="AM150" s="3"/>
      <c r="AN150" s="3">
        <v>0</v>
      </c>
      <c r="AO150" s="3">
        <v>0</v>
      </c>
      <c r="AP150" s="3"/>
      <c r="AQ150" s="3"/>
    </row>
    <row r="151" spans="1:43" ht="35.450000000000003" customHeight="1">
      <c r="A151" s="146" t="s">
        <v>30</v>
      </c>
      <c r="B151" s="156"/>
      <c r="C151" s="182"/>
      <c r="D151" s="158"/>
      <c r="E151" s="158"/>
      <c r="F151" s="158"/>
      <c r="G151" s="158"/>
      <c r="H151" s="158"/>
      <c r="I151" s="125"/>
      <c r="J151" s="158"/>
      <c r="K151" s="158"/>
      <c r="L151" s="158"/>
      <c r="M151" s="87" t="s">
        <v>211</v>
      </c>
      <c r="N151" s="149">
        <f t="shared" si="27"/>
        <v>0</v>
      </c>
      <c r="O151" s="149">
        <f t="shared" si="27"/>
        <v>0</v>
      </c>
      <c r="P151" s="3"/>
      <c r="Q151" s="3"/>
      <c r="R151" s="3"/>
      <c r="S151" s="3"/>
      <c r="T151" s="3"/>
      <c r="U151" s="3"/>
      <c r="V151" s="3"/>
      <c r="W151" s="3"/>
      <c r="X151" s="3">
        <f>Y151+Z151+AA151+AB151</f>
        <v>0</v>
      </c>
      <c r="Y151" s="3"/>
      <c r="Z151" s="3"/>
      <c r="AA151" s="3"/>
      <c r="AB151" s="3"/>
      <c r="AC151" s="3">
        <f>AD151+AE151+AF151+AG151</f>
        <v>0</v>
      </c>
      <c r="AD151" s="3"/>
      <c r="AE151" s="3"/>
      <c r="AF151" s="3"/>
      <c r="AG151" s="3"/>
      <c r="AH151" s="3"/>
      <c r="AI151" s="3"/>
      <c r="AJ151" s="3"/>
      <c r="AK151" s="3"/>
      <c r="AL151" s="3"/>
      <c r="AM151" s="3"/>
      <c r="AN151" s="3"/>
      <c r="AO151" s="3"/>
      <c r="AP151" s="3"/>
      <c r="AQ151" s="3"/>
    </row>
    <row r="152" spans="1:43" ht="35.450000000000003" customHeight="1" thickBot="1">
      <c r="A152" s="76" t="s">
        <v>212</v>
      </c>
      <c r="B152" s="77">
        <v>2511</v>
      </c>
      <c r="C152" s="183"/>
      <c r="D152" s="184"/>
      <c r="E152" s="184"/>
      <c r="F152" s="184"/>
      <c r="G152" s="184"/>
      <c r="H152" s="184"/>
      <c r="I152" s="184"/>
      <c r="J152" s="184"/>
      <c r="K152" s="184"/>
      <c r="L152" s="184">
        <v>4</v>
      </c>
      <c r="M152" s="5"/>
      <c r="N152" s="5">
        <f>N154+N155</f>
        <v>25059.3</v>
      </c>
      <c r="O152" s="5">
        <f t="shared" ref="O152:AQ152" si="29">O154+O155</f>
        <v>25056.3</v>
      </c>
      <c r="P152" s="5">
        <f t="shared" si="29"/>
        <v>0</v>
      </c>
      <c r="Q152" s="5">
        <f t="shared" si="29"/>
        <v>0</v>
      </c>
      <c r="R152" s="5">
        <f t="shared" si="29"/>
        <v>0</v>
      </c>
      <c r="S152" s="5">
        <f t="shared" si="29"/>
        <v>0</v>
      </c>
      <c r="T152" s="5">
        <f t="shared" si="29"/>
        <v>0</v>
      </c>
      <c r="U152" s="5">
        <f t="shared" si="29"/>
        <v>0</v>
      </c>
      <c r="V152" s="5">
        <f t="shared" si="29"/>
        <v>25059.3</v>
      </c>
      <c r="W152" s="5">
        <f t="shared" si="29"/>
        <v>25056.3</v>
      </c>
      <c r="X152" s="5">
        <f t="shared" si="29"/>
        <v>27000.1</v>
      </c>
      <c r="Y152" s="5">
        <f t="shared" si="29"/>
        <v>0</v>
      </c>
      <c r="Z152" s="5">
        <f t="shared" si="29"/>
        <v>0</v>
      </c>
      <c r="AA152" s="5">
        <f t="shared" si="29"/>
        <v>0</v>
      </c>
      <c r="AB152" s="5">
        <f t="shared" si="29"/>
        <v>27000.1</v>
      </c>
      <c r="AC152" s="5">
        <f t="shared" si="29"/>
        <v>30885.5</v>
      </c>
      <c r="AD152" s="5">
        <f t="shared" si="29"/>
        <v>0</v>
      </c>
      <c r="AE152" s="5">
        <f t="shared" si="29"/>
        <v>0</v>
      </c>
      <c r="AF152" s="5">
        <f t="shared" si="29"/>
        <v>0</v>
      </c>
      <c r="AG152" s="5">
        <f t="shared" si="29"/>
        <v>30885.5</v>
      </c>
      <c r="AH152" s="5">
        <f t="shared" si="29"/>
        <v>30885.5</v>
      </c>
      <c r="AI152" s="5">
        <f t="shared" si="29"/>
        <v>0</v>
      </c>
      <c r="AJ152" s="5">
        <f t="shared" si="29"/>
        <v>0</v>
      </c>
      <c r="AK152" s="5">
        <f t="shared" si="29"/>
        <v>0</v>
      </c>
      <c r="AL152" s="5">
        <f t="shared" si="29"/>
        <v>30885.5</v>
      </c>
      <c r="AM152" s="5">
        <f t="shared" si="29"/>
        <v>30885.5</v>
      </c>
      <c r="AN152" s="5">
        <f t="shared" si="29"/>
        <v>0</v>
      </c>
      <c r="AO152" s="5">
        <f t="shared" si="29"/>
        <v>0</v>
      </c>
      <c r="AP152" s="5">
        <f t="shared" si="29"/>
        <v>0</v>
      </c>
      <c r="AQ152" s="5">
        <f t="shared" si="29"/>
        <v>30885.5</v>
      </c>
    </row>
    <row r="153" spans="1:43" ht="35.450000000000003" customHeight="1" thickBot="1">
      <c r="A153" s="76" t="s">
        <v>65</v>
      </c>
      <c r="B153" s="104"/>
      <c r="C153" s="185" t="s">
        <v>15</v>
      </c>
      <c r="D153" s="121" t="s">
        <v>110</v>
      </c>
      <c r="E153" s="122" t="s">
        <v>111</v>
      </c>
      <c r="F153" s="84" t="s">
        <v>213</v>
      </c>
      <c r="G153" s="84" t="s">
        <v>19</v>
      </c>
      <c r="H153" s="84" t="s">
        <v>214</v>
      </c>
      <c r="I153" s="85" t="s">
        <v>21</v>
      </c>
      <c r="J153" s="85" t="s">
        <v>215</v>
      </c>
      <c r="K153" s="86" t="s">
        <v>23</v>
      </c>
      <c r="L153" s="158"/>
      <c r="M153" s="87" t="s">
        <v>216</v>
      </c>
      <c r="N153" s="3">
        <f t="shared" ref="N153:O155" si="30">+P153+R153+T153+V153</f>
        <v>0</v>
      </c>
      <c r="O153" s="3">
        <f t="shared" si="30"/>
        <v>0</v>
      </c>
      <c r="P153" s="3">
        <f>+R153+T153+V153+EX153</f>
        <v>0</v>
      </c>
      <c r="Q153" s="3">
        <f>+S153+U153+W153+EY153</f>
        <v>0</v>
      </c>
      <c r="R153" s="3">
        <f>+T153+V153+EX153+EZ153</f>
        <v>0</v>
      </c>
      <c r="S153" s="3">
        <f>+U153+W153+EY153+FA153</f>
        <v>0</v>
      </c>
      <c r="T153" s="3">
        <f>+V153+EX153+EZ153+FB153</f>
        <v>0</v>
      </c>
      <c r="U153" s="3">
        <f>+W153+EY153+FA153+IE153</f>
        <v>0</v>
      </c>
      <c r="V153" s="3">
        <f>+EX153+EZ153+FB153+IF153</f>
        <v>0</v>
      </c>
      <c r="W153" s="3">
        <f>+EY153+FA153+IE153+IG153</f>
        <v>0</v>
      </c>
      <c r="X153" s="5">
        <f>Y153+Z153+AA153+AB153</f>
        <v>0</v>
      </c>
      <c r="Y153" s="5"/>
      <c r="Z153" s="5"/>
      <c r="AA153" s="5"/>
      <c r="AB153" s="5">
        <f>LL1032+LM1032+LN1032+LO1032+LP1032</f>
        <v>0</v>
      </c>
      <c r="AC153" s="5">
        <f>AD153+AE153+AF153+AG153</f>
        <v>0</v>
      </c>
      <c r="AD153" s="5"/>
      <c r="AE153" s="5"/>
      <c r="AF153" s="5"/>
      <c r="AG153" s="5">
        <f>IE1032+IF1032+IG1032+IH1032+II1032</f>
        <v>0</v>
      </c>
      <c r="AH153" s="5">
        <f>AI153+AJ153+AK153+AL153</f>
        <v>0</v>
      </c>
      <c r="AI153" s="5"/>
      <c r="AJ153" s="5"/>
      <c r="AK153" s="5"/>
      <c r="AL153" s="5"/>
      <c r="AM153" s="5">
        <f>AN153+AO153+AP153+AQ153</f>
        <v>0</v>
      </c>
      <c r="AN153" s="5"/>
      <c r="AO153" s="5"/>
      <c r="AP153" s="5"/>
      <c r="AQ153" s="5"/>
    </row>
    <row r="154" spans="1:43" ht="35.450000000000003" customHeight="1" thickBot="1">
      <c r="A154" s="76" t="s">
        <v>65</v>
      </c>
      <c r="B154" s="77"/>
      <c r="C154" s="186"/>
      <c r="D154" s="187"/>
      <c r="E154" s="188"/>
      <c r="F154" s="84" t="s">
        <v>217</v>
      </c>
      <c r="G154" s="84" t="s">
        <v>218</v>
      </c>
      <c r="H154" s="84" t="s">
        <v>219</v>
      </c>
      <c r="I154" s="95" t="s">
        <v>220</v>
      </c>
      <c r="J154" s="95" t="s">
        <v>153</v>
      </c>
      <c r="K154" s="189"/>
      <c r="L154" s="190"/>
      <c r="M154" s="87" t="s">
        <v>221</v>
      </c>
      <c r="N154" s="3">
        <f t="shared" si="30"/>
        <v>0.1</v>
      </c>
      <c r="O154" s="3">
        <f t="shared" si="30"/>
        <v>0</v>
      </c>
      <c r="P154" s="3"/>
      <c r="Q154" s="3"/>
      <c r="R154" s="3"/>
      <c r="S154" s="3"/>
      <c r="T154" s="3"/>
      <c r="U154" s="3"/>
      <c r="V154" s="3">
        <v>0.1</v>
      </c>
      <c r="W154" s="3">
        <v>0</v>
      </c>
      <c r="X154" s="5">
        <f>Y154+Z154+AA154+AB154</f>
        <v>0.1</v>
      </c>
      <c r="Y154" s="5"/>
      <c r="Z154" s="5"/>
      <c r="AA154" s="5"/>
      <c r="AB154" s="5">
        <v>0.1</v>
      </c>
      <c r="AC154" s="5">
        <f>AD154+AE154+AF154+AG154</f>
        <v>0.1</v>
      </c>
      <c r="AD154" s="5"/>
      <c r="AE154" s="5"/>
      <c r="AF154" s="5"/>
      <c r="AG154" s="5">
        <v>0.1</v>
      </c>
      <c r="AH154" s="5">
        <f>AI154+AJ154+AK154+AL154</f>
        <v>0.1</v>
      </c>
      <c r="AI154" s="5"/>
      <c r="AJ154" s="5"/>
      <c r="AK154" s="5"/>
      <c r="AL154" s="5">
        <v>0.1</v>
      </c>
      <c r="AM154" s="5">
        <f>AN154+AO154+AP154+AQ154</f>
        <v>0.1</v>
      </c>
      <c r="AN154" s="5"/>
      <c r="AO154" s="5"/>
      <c r="AP154" s="5"/>
      <c r="AQ154" s="5">
        <v>0.1</v>
      </c>
    </row>
    <row r="155" spans="1:43" ht="35.450000000000003" customHeight="1" thickBot="1">
      <c r="A155" s="72" t="s">
        <v>65</v>
      </c>
      <c r="B155" s="104"/>
      <c r="C155" s="191"/>
      <c r="D155" s="124"/>
      <c r="E155" s="125"/>
      <c r="F155" s="3"/>
      <c r="G155" s="3"/>
      <c r="H155" s="3"/>
      <c r="I155" s="95" t="s">
        <v>220</v>
      </c>
      <c r="J155" s="95" t="s">
        <v>153</v>
      </c>
      <c r="K155" s="3"/>
      <c r="L155" s="3"/>
      <c r="M155" s="87" t="s">
        <v>222</v>
      </c>
      <c r="N155" s="3">
        <f t="shared" si="30"/>
        <v>25059.200000000001</v>
      </c>
      <c r="O155" s="3">
        <f t="shared" si="30"/>
        <v>25056.3</v>
      </c>
      <c r="P155" s="3"/>
      <c r="Q155" s="3"/>
      <c r="R155" s="3"/>
      <c r="S155" s="3"/>
      <c r="T155" s="3"/>
      <c r="U155" s="3"/>
      <c r="V155" s="3">
        <v>25059.200000000001</v>
      </c>
      <c r="W155" s="3">
        <v>25056.3</v>
      </c>
      <c r="X155" s="5">
        <f>Y155+Z155+AA155+AB155</f>
        <v>27000</v>
      </c>
      <c r="Y155" s="3"/>
      <c r="Z155" s="3"/>
      <c r="AA155" s="3"/>
      <c r="AB155" s="3">
        <v>27000</v>
      </c>
      <c r="AC155" s="5">
        <f>AD155+AE155+AF155+AG155</f>
        <v>30885.4</v>
      </c>
      <c r="AD155" s="3"/>
      <c r="AE155" s="3"/>
      <c r="AF155" s="3"/>
      <c r="AG155" s="3">
        <v>30885.4</v>
      </c>
      <c r="AH155" s="5">
        <f>AI155+AJ155+AK155+AL155</f>
        <v>30885.4</v>
      </c>
      <c r="AI155" s="3"/>
      <c r="AJ155" s="3"/>
      <c r="AK155" s="3"/>
      <c r="AL155" s="3">
        <v>30885.4</v>
      </c>
      <c r="AM155" s="5">
        <f>AN155+AO155+AP155+AQ155</f>
        <v>30885.4</v>
      </c>
      <c r="AN155" s="3"/>
      <c r="AO155" s="3"/>
      <c r="AP155" s="3"/>
      <c r="AQ155" s="3">
        <v>30885.4</v>
      </c>
    </row>
    <row r="156" spans="1:43" ht="35.450000000000003" customHeight="1" thickBot="1">
      <c r="A156" s="142" t="s">
        <v>223</v>
      </c>
      <c r="B156" s="77">
        <v>2517</v>
      </c>
      <c r="C156" s="78"/>
      <c r="D156" s="5"/>
      <c r="E156" s="5"/>
      <c r="F156" s="5"/>
      <c r="G156" s="5"/>
      <c r="H156" s="5"/>
      <c r="I156" s="5"/>
      <c r="J156" s="5"/>
      <c r="K156" s="5"/>
      <c r="L156" s="5">
        <v>12</v>
      </c>
      <c r="M156" s="5"/>
      <c r="N156" s="5">
        <f>+P156+R156+T156+V156</f>
        <v>45180.7</v>
      </c>
      <c r="O156" s="5">
        <f>Q156+S156+U156+W156</f>
        <v>23</v>
      </c>
      <c r="P156" s="5">
        <f t="shared" ref="P156:W156" si="31">P157+P161+P163+P168+P165+P159+P158+P162</f>
        <v>0</v>
      </c>
      <c r="Q156" s="5"/>
      <c r="R156" s="5">
        <f t="shared" si="31"/>
        <v>19150</v>
      </c>
      <c r="S156" s="5"/>
      <c r="T156" s="5">
        <f t="shared" si="31"/>
        <v>0</v>
      </c>
      <c r="U156" s="5"/>
      <c r="V156" s="5">
        <f t="shared" si="31"/>
        <v>26030.7</v>
      </c>
      <c r="W156" s="5">
        <f t="shared" si="31"/>
        <v>23</v>
      </c>
      <c r="X156" s="5">
        <f>X157+X161+X163+X168+X165+X159+X158+X162+X164</f>
        <v>86469.4</v>
      </c>
      <c r="Y156" s="5">
        <f>Y157+Y161+Y163+Y168+Y165+Y159+Y158+Y162+Y164</f>
        <v>0</v>
      </c>
      <c r="Z156" s="5">
        <f>Z157+Z161+Z163+Z168+Z165+Z159+Z158+Z162+Z164</f>
        <v>0</v>
      </c>
      <c r="AA156" s="5">
        <f>AA157+AA161+AA163+AA168+AA165+AA159+AA158+AA162+AA164</f>
        <v>0</v>
      </c>
      <c r="AB156" s="5">
        <f>AB157+AB161+AB163+AB168+AB165+AB159+AB158+AB162+AB164</f>
        <v>86469.4</v>
      </c>
      <c r="AC156" s="5">
        <f t="shared" ref="AC156:AQ156" si="32">AC157+AC161+AC163+AC168+AC165+AC159+AC158+AC162</f>
        <v>10100</v>
      </c>
      <c r="AD156" s="5">
        <f t="shared" si="32"/>
        <v>0</v>
      </c>
      <c r="AE156" s="5">
        <f t="shared" si="32"/>
        <v>0</v>
      </c>
      <c r="AF156" s="5">
        <f t="shared" si="32"/>
        <v>0</v>
      </c>
      <c r="AG156" s="5">
        <f t="shared" si="32"/>
        <v>10100</v>
      </c>
      <c r="AH156" s="5">
        <f t="shared" si="32"/>
        <v>10100</v>
      </c>
      <c r="AI156" s="5">
        <f t="shared" si="32"/>
        <v>0</v>
      </c>
      <c r="AJ156" s="5">
        <f t="shared" si="32"/>
        <v>0</v>
      </c>
      <c r="AK156" s="5">
        <f t="shared" si="32"/>
        <v>0</v>
      </c>
      <c r="AL156" s="5">
        <f t="shared" si="32"/>
        <v>10100</v>
      </c>
      <c r="AM156" s="5">
        <f t="shared" si="32"/>
        <v>10100</v>
      </c>
      <c r="AN156" s="5">
        <f t="shared" si="32"/>
        <v>0</v>
      </c>
      <c r="AO156" s="5">
        <f t="shared" si="32"/>
        <v>0</v>
      </c>
      <c r="AP156" s="5">
        <f t="shared" si="32"/>
        <v>0</v>
      </c>
      <c r="AQ156" s="5">
        <f t="shared" si="32"/>
        <v>10100</v>
      </c>
    </row>
    <row r="157" spans="1:43" ht="35.450000000000003" customHeight="1">
      <c r="A157" s="146" t="s">
        <v>30</v>
      </c>
      <c r="B157" s="156"/>
      <c r="C157" s="107" t="s">
        <v>224</v>
      </c>
      <c r="D157" s="107" t="s">
        <v>225</v>
      </c>
      <c r="E157" s="122" t="s">
        <v>111</v>
      </c>
      <c r="F157" s="84" t="s">
        <v>226</v>
      </c>
      <c r="G157" s="84" t="s">
        <v>227</v>
      </c>
      <c r="H157" s="84" t="s">
        <v>228</v>
      </c>
      <c r="I157" s="87" t="s">
        <v>229</v>
      </c>
      <c r="J157" s="87" t="s">
        <v>230</v>
      </c>
      <c r="K157" s="86" t="s">
        <v>231</v>
      </c>
      <c r="L157" s="3"/>
      <c r="M157" s="136" t="s">
        <v>232</v>
      </c>
      <c r="N157" s="3">
        <f>P157+R157+T157+V157</f>
        <v>19842.400000000001</v>
      </c>
      <c r="O157" s="3">
        <f>Q157+S157+U157+W157</f>
        <v>0</v>
      </c>
      <c r="P157" s="3"/>
      <c r="Q157" s="3"/>
      <c r="R157" s="3">
        <v>2236.3000000000002</v>
      </c>
      <c r="S157" s="3"/>
      <c r="T157" s="3"/>
      <c r="U157" s="3"/>
      <c r="V157" s="3">
        <f>5000+4294.8-8096.5+1168.7+754.8-2705.2+2236.3+4134.6+13054.9-2236.3</f>
        <v>17606.100000000002</v>
      </c>
      <c r="W157" s="3">
        <v>0</v>
      </c>
      <c r="X157" s="3">
        <f>AB157</f>
        <v>3538.5</v>
      </c>
      <c r="Y157" s="3"/>
      <c r="Z157" s="3"/>
      <c r="AA157" s="3"/>
      <c r="AB157" s="3">
        <f>5000+10000-15-6405.4-3541.1-1500</f>
        <v>3538.5</v>
      </c>
      <c r="AC157" s="3">
        <f>AG157</f>
        <v>10000</v>
      </c>
      <c r="AD157" s="3"/>
      <c r="AE157" s="3"/>
      <c r="AF157" s="3"/>
      <c r="AG157" s="3">
        <v>10000</v>
      </c>
      <c r="AH157" s="3">
        <f>AI157+AJ157+AK157+AL157</f>
        <v>10000</v>
      </c>
      <c r="AI157" s="3"/>
      <c r="AJ157" s="3"/>
      <c r="AK157" s="3"/>
      <c r="AL157" s="3">
        <v>10000</v>
      </c>
      <c r="AM157" s="3">
        <f>AN157+AO157+AP157+AQ157</f>
        <v>10000</v>
      </c>
      <c r="AN157" s="3"/>
      <c r="AO157" s="3"/>
      <c r="AP157" s="3"/>
      <c r="AQ157" s="3">
        <v>10000</v>
      </c>
    </row>
    <row r="158" spans="1:43" ht="35.450000000000003" customHeight="1">
      <c r="A158" s="146" t="s">
        <v>233</v>
      </c>
      <c r="B158" s="140"/>
      <c r="C158" s="87"/>
      <c r="D158" s="87"/>
      <c r="E158" s="192"/>
      <c r="F158" s="84" t="s">
        <v>234</v>
      </c>
      <c r="G158" s="84" t="s">
        <v>235</v>
      </c>
      <c r="H158" s="84" t="s">
        <v>236</v>
      </c>
      <c r="I158" s="87" t="s">
        <v>237</v>
      </c>
      <c r="J158" s="87" t="s">
        <v>238</v>
      </c>
      <c r="K158" s="87" t="s">
        <v>153</v>
      </c>
      <c r="L158" s="3"/>
      <c r="M158" s="136" t="s">
        <v>239</v>
      </c>
      <c r="N158" s="3">
        <f>V158</f>
        <v>8194.5999999999985</v>
      </c>
      <c r="O158" s="3">
        <f t="shared" ref="O158:O168" si="33">Q158+S158+U158+W158</f>
        <v>0</v>
      </c>
      <c r="P158" s="3"/>
      <c r="Q158" s="3"/>
      <c r="R158" s="3">
        <v>16913.7</v>
      </c>
      <c r="S158" s="3"/>
      <c r="T158" s="3"/>
      <c r="U158" s="3"/>
      <c r="V158" s="3">
        <f>62886.5-32412.7-15000.1+0.5-0.1+203.9-8496.5+1201.8-189+15000-2236.3+4150+0.4-0.1-16913.7</f>
        <v>8194.5999999999985</v>
      </c>
      <c r="W158" s="3">
        <v>0</v>
      </c>
      <c r="X158" s="3">
        <f>AB158</f>
        <v>82518.099999999991</v>
      </c>
      <c r="Y158" s="3"/>
      <c r="Z158" s="3"/>
      <c r="AA158" s="3"/>
      <c r="AB158" s="3">
        <f>69770.2-17934.2-17986.5-24340.9-497.3+0.1-150+2473+389.9+71120.9-327.1</f>
        <v>82518.099999999991</v>
      </c>
      <c r="AC158" s="3">
        <f>AG158</f>
        <v>0</v>
      </c>
      <c r="AD158" s="3"/>
      <c r="AE158" s="3"/>
      <c r="AF158" s="3"/>
      <c r="AG158" s="3"/>
      <c r="AH158" s="3">
        <f>AI158+AJ158+AK158+AL158</f>
        <v>0</v>
      </c>
      <c r="AI158" s="3"/>
      <c r="AJ158" s="3"/>
      <c r="AK158" s="3"/>
      <c r="AL158" s="3"/>
      <c r="AM158" s="3">
        <f>AN158+AO158+AP158+AQ158</f>
        <v>0</v>
      </c>
      <c r="AN158" s="3"/>
      <c r="AO158" s="3"/>
      <c r="AP158" s="3"/>
      <c r="AQ158" s="3"/>
    </row>
    <row r="159" spans="1:43" ht="35.450000000000003" customHeight="1">
      <c r="A159" s="146" t="s">
        <v>30</v>
      </c>
      <c r="B159" s="140"/>
      <c r="C159" s="71"/>
      <c r="D159" s="3"/>
      <c r="E159" s="3"/>
      <c r="F159" s="3"/>
      <c r="G159" s="3"/>
      <c r="H159" s="3"/>
      <c r="I159" s="132" t="s">
        <v>240</v>
      </c>
      <c r="J159" s="87" t="s">
        <v>153</v>
      </c>
      <c r="K159" s="87" t="s">
        <v>1247</v>
      </c>
      <c r="L159" s="3"/>
      <c r="M159" s="136" t="s">
        <v>241</v>
      </c>
      <c r="N159" s="3">
        <f>V159</f>
        <v>0</v>
      </c>
      <c r="O159" s="3">
        <f t="shared" si="33"/>
        <v>0</v>
      </c>
      <c r="P159" s="3"/>
      <c r="Q159" s="3"/>
      <c r="R159" s="3"/>
      <c r="S159" s="3"/>
      <c r="T159" s="3"/>
      <c r="U159" s="3"/>
      <c r="V159" s="3"/>
      <c r="W159" s="3"/>
      <c r="X159" s="3">
        <f>AB159</f>
        <v>0</v>
      </c>
      <c r="Y159" s="3"/>
      <c r="Z159" s="3"/>
      <c r="AA159" s="3"/>
      <c r="AB159" s="3"/>
      <c r="AC159" s="3">
        <f>AG159</f>
        <v>0</v>
      </c>
      <c r="AD159" s="3"/>
      <c r="AE159" s="3"/>
      <c r="AF159" s="3"/>
      <c r="AG159" s="3"/>
      <c r="AH159" s="3">
        <f>AI159+AJ159+AK159+AL159</f>
        <v>0</v>
      </c>
      <c r="AI159" s="3"/>
      <c r="AJ159" s="3"/>
      <c r="AK159" s="3"/>
      <c r="AL159" s="3"/>
      <c r="AM159" s="3">
        <f>AN159+AO159+AP159+AQ159</f>
        <v>0</v>
      </c>
      <c r="AN159" s="3"/>
      <c r="AO159" s="3"/>
      <c r="AP159" s="3"/>
      <c r="AQ159" s="3"/>
    </row>
    <row r="160" spans="1:43" ht="35.450000000000003" customHeight="1" thickBot="1">
      <c r="A160" s="193" t="s">
        <v>30</v>
      </c>
      <c r="B160" s="194"/>
      <c r="C160" s="125"/>
      <c r="D160" s="139"/>
      <c r="E160" s="95"/>
      <c r="F160" s="195"/>
      <c r="G160" s="3"/>
      <c r="H160" s="3"/>
      <c r="I160" s="87"/>
      <c r="J160" s="3"/>
      <c r="K160" s="3"/>
      <c r="L160" s="3"/>
      <c r="M160" s="196" t="s">
        <v>242</v>
      </c>
      <c r="N160" s="3"/>
      <c r="O160" s="3">
        <f t="shared" si="33"/>
        <v>0</v>
      </c>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row>
    <row r="161" spans="1:43" ht="35.450000000000003" customHeight="1">
      <c r="A161" s="197" t="s">
        <v>243</v>
      </c>
      <c r="B161" s="140"/>
      <c r="C161" s="71"/>
      <c r="D161" s="3"/>
      <c r="E161" s="3"/>
      <c r="F161" s="3"/>
      <c r="G161" s="3"/>
      <c r="H161" s="3"/>
      <c r="I161" s="198"/>
      <c r="J161" s="3"/>
      <c r="K161" s="3"/>
      <c r="L161" s="3"/>
      <c r="M161" s="136" t="s">
        <v>244</v>
      </c>
      <c r="N161" s="3">
        <f>V161</f>
        <v>0</v>
      </c>
      <c r="O161" s="3">
        <f t="shared" si="33"/>
        <v>0</v>
      </c>
      <c r="P161" s="3"/>
      <c r="Q161" s="3"/>
      <c r="R161" s="3"/>
      <c r="S161" s="3"/>
      <c r="T161" s="3"/>
      <c r="U161" s="3"/>
      <c r="V161" s="3"/>
      <c r="W161" s="3"/>
      <c r="X161" s="3">
        <f>AB161</f>
        <v>0</v>
      </c>
      <c r="Y161" s="3"/>
      <c r="Z161" s="3"/>
      <c r="AA161" s="3"/>
      <c r="AB161" s="3"/>
      <c r="AC161" s="3">
        <f>AG161</f>
        <v>0</v>
      </c>
      <c r="AD161" s="3"/>
      <c r="AE161" s="3"/>
      <c r="AF161" s="3"/>
      <c r="AG161" s="3"/>
      <c r="AH161" s="3">
        <f t="shared" ref="AH161:AH168" si="34">AI161+AJ161+AK161+AL161</f>
        <v>0</v>
      </c>
      <c r="AI161" s="3"/>
      <c r="AJ161" s="3"/>
      <c r="AK161" s="3"/>
      <c r="AL161" s="3"/>
      <c r="AM161" s="3">
        <f>AN161+AO161+AP161+AQ161</f>
        <v>0</v>
      </c>
      <c r="AN161" s="3"/>
      <c r="AO161" s="3"/>
      <c r="AP161" s="3"/>
      <c r="AQ161" s="3"/>
    </row>
    <row r="162" spans="1:43" ht="35.450000000000003" customHeight="1">
      <c r="A162" s="146" t="s">
        <v>30</v>
      </c>
      <c r="B162" s="156"/>
      <c r="C162" s="84" t="s">
        <v>245</v>
      </c>
      <c r="D162" s="84" t="s">
        <v>246</v>
      </c>
      <c r="E162" s="84" t="s">
        <v>247</v>
      </c>
      <c r="F162" s="84"/>
      <c r="G162" s="84"/>
      <c r="H162" s="84"/>
      <c r="I162" s="198"/>
      <c r="J162" s="3"/>
      <c r="K162" s="3"/>
      <c r="L162" s="3"/>
      <c r="M162" s="136" t="s">
        <v>248</v>
      </c>
      <c r="N162" s="3">
        <f>V162</f>
        <v>130</v>
      </c>
      <c r="O162" s="3">
        <f t="shared" si="33"/>
        <v>23</v>
      </c>
      <c r="P162" s="3"/>
      <c r="Q162" s="3"/>
      <c r="R162" s="3"/>
      <c r="S162" s="3"/>
      <c r="T162" s="3"/>
      <c r="U162" s="3"/>
      <c r="V162" s="3">
        <f>30+100</f>
        <v>130</v>
      </c>
      <c r="W162" s="3">
        <v>23</v>
      </c>
      <c r="X162" s="3">
        <f>AB162</f>
        <v>300</v>
      </c>
      <c r="Y162" s="3"/>
      <c r="Z162" s="3"/>
      <c r="AA162" s="3"/>
      <c r="AB162" s="3">
        <f>100+200</f>
        <v>300</v>
      </c>
      <c r="AC162" s="3">
        <f>AG162</f>
        <v>100</v>
      </c>
      <c r="AD162" s="3"/>
      <c r="AE162" s="3"/>
      <c r="AF162" s="3"/>
      <c r="AG162" s="3">
        <v>100</v>
      </c>
      <c r="AH162" s="3">
        <f t="shared" si="34"/>
        <v>100</v>
      </c>
      <c r="AI162" s="3"/>
      <c r="AJ162" s="3"/>
      <c r="AK162" s="3"/>
      <c r="AL162" s="3">
        <v>100</v>
      </c>
      <c r="AM162" s="3">
        <f>AN162+AO162+AP162+AQ162</f>
        <v>100</v>
      </c>
      <c r="AN162" s="3"/>
      <c r="AO162" s="3"/>
      <c r="AP162" s="3"/>
      <c r="AQ162" s="3">
        <v>100</v>
      </c>
    </row>
    <row r="163" spans="1:43" ht="35.450000000000003" customHeight="1">
      <c r="A163" s="146" t="s">
        <v>30</v>
      </c>
      <c r="B163" s="91"/>
      <c r="C163" s="199"/>
      <c r="D163" s="3"/>
      <c r="E163" s="3"/>
      <c r="F163" s="3"/>
      <c r="G163" s="3"/>
      <c r="H163" s="3"/>
      <c r="I163" s="4"/>
      <c r="J163" s="3"/>
      <c r="K163" s="3"/>
      <c r="L163" s="3"/>
      <c r="M163" s="136" t="s">
        <v>249</v>
      </c>
      <c r="N163" s="3">
        <f>V163</f>
        <v>100</v>
      </c>
      <c r="O163" s="3">
        <f t="shared" si="33"/>
        <v>0</v>
      </c>
      <c r="P163" s="3"/>
      <c r="Q163" s="3"/>
      <c r="R163" s="3"/>
      <c r="S163" s="3"/>
      <c r="T163" s="3"/>
      <c r="U163" s="3"/>
      <c r="V163" s="3">
        <v>100</v>
      </c>
      <c r="W163" s="3">
        <v>0</v>
      </c>
      <c r="X163" s="3">
        <f>AB163</f>
        <v>100</v>
      </c>
      <c r="Y163" s="3"/>
      <c r="Z163" s="3"/>
      <c r="AA163" s="3"/>
      <c r="AB163" s="3">
        <v>100</v>
      </c>
      <c r="AC163" s="3">
        <f>AG163</f>
        <v>0</v>
      </c>
      <c r="AD163" s="3"/>
      <c r="AE163" s="3"/>
      <c r="AF163" s="3"/>
      <c r="AG163" s="3">
        <v>0</v>
      </c>
      <c r="AH163" s="3">
        <f t="shared" si="34"/>
        <v>0</v>
      </c>
      <c r="AI163" s="3"/>
      <c r="AJ163" s="3"/>
      <c r="AK163" s="3"/>
      <c r="AL163" s="3">
        <v>0</v>
      </c>
      <c r="AM163" s="3">
        <f>AN163+AO163+AP163+AQ163</f>
        <v>0</v>
      </c>
      <c r="AN163" s="3"/>
      <c r="AO163" s="3"/>
      <c r="AP163" s="3"/>
      <c r="AQ163" s="3">
        <v>0</v>
      </c>
    </row>
    <row r="164" spans="1:43" ht="35.450000000000003" customHeight="1">
      <c r="A164" s="146" t="s">
        <v>30</v>
      </c>
      <c r="B164" s="91"/>
      <c r="C164" s="199"/>
      <c r="D164" s="3"/>
      <c r="E164" s="3"/>
      <c r="F164" s="3"/>
      <c r="G164" s="3"/>
      <c r="H164" s="3"/>
      <c r="I164" s="4"/>
      <c r="J164" s="3"/>
      <c r="K164" s="3"/>
      <c r="L164" s="3"/>
      <c r="M164" s="136" t="s">
        <v>250</v>
      </c>
      <c r="N164" s="3"/>
      <c r="O164" s="3"/>
      <c r="P164" s="3"/>
      <c r="Q164" s="3"/>
      <c r="R164" s="3"/>
      <c r="S164" s="3"/>
      <c r="T164" s="3"/>
      <c r="U164" s="3"/>
      <c r="V164" s="3"/>
      <c r="W164" s="3"/>
      <c r="X164" s="3">
        <f>AB164</f>
        <v>12.8</v>
      </c>
      <c r="Y164" s="3"/>
      <c r="Z164" s="3"/>
      <c r="AA164" s="3"/>
      <c r="AB164" s="3">
        <v>12.8</v>
      </c>
      <c r="AC164" s="3"/>
      <c r="AD164" s="3"/>
      <c r="AE164" s="3"/>
      <c r="AF164" s="3"/>
      <c r="AG164" s="3"/>
      <c r="AH164" s="3"/>
      <c r="AI164" s="3"/>
      <c r="AJ164" s="3"/>
      <c r="AK164" s="3"/>
      <c r="AL164" s="3"/>
      <c r="AM164" s="3"/>
      <c r="AN164" s="3"/>
      <c r="AO164" s="3"/>
      <c r="AP164" s="3"/>
      <c r="AQ164" s="3"/>
    </row>
    <row r="165" spans="1:43" ht="35.450000000000003" customHeight="1">
      <c r="A165" s="146" t="s">
        <v>243</v>
      </c>
      <c r="B165" s="91"/>
      <c r="C165" s="81" t="s">
        <v>15</v>
      </c>
      <c r="D165" s="121" t="s">
        <v>110</v>
      </c>
      <c r="E165" s="122" t="s">
        <v>111</v>
      </c>
      <c r="F165" s="3"/>
      <c r="G165" s="3"/>
      <c r="H165" s="3"/>
      <c r="I165" s="4"/>
      <c r="J165" s="3"/>
      <c r="K165" s="3"/>
      <c r="L165" s="3"/>
      <c r="M165" s="136" t="s">
        <v>251</v>
      </c>
      <c r="N165" s="3"/>
      <c r="O165" s="3">
        <f t="shared" si="33"/>
        <v>0</v>
      </c>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row>
    <row r="166" spans="1:43" ht="35.450000000000003" customHeight="1">
      <c r="A166" s="146" t="s">
        <v>243</v>
      </c>
      <c r="B166" s="91"/>
      <c r="C166" s="88"/>
      <c r="D166" s="187"/>
      <c r="E166" s="188"/>
      <c r="F166" s="3"/>
      <c r="G166" s="3"/>
      <c r="H166" s="3"/>
      <c r="I166" s="4"/>
      <c r="J166" s="3"/>
      <c r="K166" s="3"/>
      <c r="L166" s="3"/>
      <c r="M166" s="136" t="s">
        <v>252</v>
      </c>
      <c r="N166" s="3"/>
      <c r="O166" s="3">
        <f t="shared" si="33"/>
        <v>0</v>
      </c>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row>
    <row r="167" spans="1:43" ht="35.450000000000003" customHeight="1">
      <c r="A167" s="146" t="s">
        <v>243</v>
      </c>
      <c r="B167" s="91"/>
      <c r="C167" s="123"/>
      <c r="D167" s="124"/>
      <c r="E167" s="125"/>
      <c r="F167" s="3"/>
      <c r="G167" s="3"/>
      <c r="H167" s="3"/>
      <c r="I167" s="4"/>
      <c r="J167" s="3"/>
      <c r="K167" s="3"/>
      <c r="L167" s="3"/>
      <c r="M167" s="136" t="s">
        <v>253</v>
      </c>
      <c r="N167" s="3"/>
      <c r="O167" s="3">
        <f t="shared" si="33"/>
        <v>0</v>
      </c>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row>
    <row r="168" spans="1:43" ht="35.450000000000003" customHeight="1">
      <c r="A168" s="146" t="s">
        <v>233</v>
      </c>
      <c r="B168" s="91"/>
      <c r="C168" s="199"/>
      <c r="D168" s="3"/>
      <c r="E168" s="3"/>
      <c r="F168" s="3"/>
      <c r="G168" s="3"/>
      <c r="H168" s="3"/>
      <c r="I168" s="4"/>
      <c r="J168" s="3"/>
      <c r="K168" s="3"/>
      <c r="L168" s="3"/>
      <c r="M168" s="136" t="s">
        <v>254</v>
      </c>
      <c r="N168" s="3">
        <f>V168</f>
        <v>0</v>
      </c>
      <c r="O168" s="3">
        <f t="shared" si="33"/>
        <v>0</v>
      </c>
      <c r="P168" s="3"/>
      <c r="Q168" s="3"/>
      <c r="R168" s="3"/>
      <c r="S168" s="3"/>
      <c r="T168" s="3"/>
      <c r="U168" s="3"/>
      <c r="V168" s="3">
        <f>9000-9000</f>
        <v>0</v>
      </c>
      <c r="W168" s="3"/>
      <c r="X168" s="3">
        <f>AB168</f>
        <v>0</v>
      </c>
      <c r="Y168" s="3"/>
      <c r="Z168" s="3"/>
      <c r="AA168" s="3"/>
      <c r="AB168" s="3">
        <f>9000-9000</f>
        <v>0</v>
      </c>
      <c r="AC168" s="3">
        <f>AG168</f>
        <v>0</v>
      </c>
      <c r="AD168" s="3"/>
      <c r="AE168" s="3"/>
      <c r="AF168" s="3"/>
      <c r="AG168" s="3">
        <f>9000-9000</f>
        <v>0</v>
      </c>
      <c r="AH168" s="3">
        <f t="shared" si="34"/>
        <v>0</v>
      </c>
      <c r="AI168" s="3"/>
      <c r="AJ168" s="3"/>
      <c r="AK168" s="3"/>
      <c r="AL168" s="3">
        <f>9000-9000</f>
        <v>0</v>
      </c>
      <c r="AM168" s="3">
        <f>AN168+AO168+AP168+AQ168</f>
        <v>0</v>
      </c>
      <c r="AN168" s="3"/>
      <c r="AO168" s="3"/>
      <c r="AP168" s="3"/>
      <c r="AQ168" s="3">
        <f>9000-9000</f>
        <v>0</v>
      </c>
    </row>
    <row r="169" spans="1:43" ht="35.450000000000003" customHeight="1">
      <c r="A169" s="200" t="s">
        <v>255</v>
      </c>
      <c r="B169" s="160">
        <v>2520</v>
      </c>
      <c r="C169" s="201"/>
      <c r="D169" s="5"/>
      <c r="E169" s="5"/>
      <c r="F169" s="5"/>
      <c r="G169" s="5"/>
      <c r="H169" s="5"/>
      <c r="I169" s="5"/>
      <c r="J169" s="5"/>
      <c r="K169" s="5"/>
      <c r="L169" s="5">
        <v>12</v>
      </c>
      <c r="M169" s="5"/>
      <c r="N169" s="5">
        <f>N170+N173+N174+N175+N176+N177+N171</f>
        <v>1226.8999999999999</v>
      </c>
      <c r="O169" s="5">
        <f t="shared" ref="O169:W169" si="35">O170+O173+O174+O175+O176+O177+O171</f>
        <v>931.3</v>
      </c>
      <c r="P169" s="5">
        <f t="shared" si="35"/>
        <v>0</v>
      </c>
      <c r="Q169" s="5">
        <f t="shared" si="35"/>
        <v>0</v>
      </c>
      <c r="R169" s="5">
        <f t="shared" si="35"/>
        <v>844.9</v>
      </c>
      <c r="S169" s="5">
        <f t="shared" si="35"/>
        <v>791.3</v>
      </c>
      <c r="T169" s="5">
        <f t="shared" si="35"/>
        <v>0</v>
      </c>
      <c r="U169" s="5">
        <f t="shared" si="35"/>
        <v>0</v>
      </c>
      <c r="V169" s="5">
        <f t="shared" si="35"/>
        <v>382</v>
      </c>
      <c r="W169" s="5">
        <f t="shared" si="35"/>
        <v>140</v>
      </c>
      <c r="X169" s="5">
        <f>X170+X173+X174+X175+X176+X177</f>
        <v>1015.6999999999999</v>
      </c>
      <c r="Y169" s="5">
        <f t="shared" ref="Y169:AQ169" si="36">Y170+Y173+Y174+Y175+Y176+Y177</f>
        <v>0</v>
      </c>
      <c r="Z169" s="5">
        <f t="shared" si="36"/>
        <v>822.4</v>
      </c>
      <c r="AA169" s="5">
        <f t="shared" si="36"/>
        <v>0</v>
      </c>
      <c r="AB169" s="5">
        <f t="shared" si="36"/>
        <v>193.3</v>
      </c>
      <c r="AC169" s="5">
        <f t="shared" si="36"/>
        <v>972.4</v>
      </c>
      <c r="AD169" s="5">
        <f t="shared" si="36"/>
        <v>0</v>
      </c>
      <c r="AE169" s="5">
        <f t="shared" si="36"/>
        <v>822.4</v>
      </c>
      <c r="AF169" s="5">
        <f t="shared" si="36"/>
        <v>0</v>
      </c>
      <c r="AG169" s="5">
        <f t="shared" si="36"/>
        <v>150</v>
      </c>
      <c r="AH169" s="5">
        <f t="shared" si="36"/>
        <v>972.4</v>
      </c>
      <c r="AI169" s="5">
        <f t="shared" si="36"/>
        <v>0</v>
      </c>
      <c r="AJ169" s="5">
        <f t="shared" si="36"/>
        <v>822.4</v>
      </c>
      <c r="AK169" s="5">
        <f t="shared" si="36"/>
        <v>0</v>
      </c>
      <c r="AL169" s="5">
        <f t="shared" si="36"/>
        <v>150</v>
      </c>
      <c r="AM169" s="5">
        <f t="shared" si="36"/>
        <v>972.4</v>
      </c>
      <c r="AN169" s="5">
        <f t="shared" si="36"/>
        <v>0</v>
      </c>
      <c r="AO169" s="5">
        <f t="shared" si="36"/>
        <v>822.4</v>
      </c>
      <c r="AP169" s="5">
        <f t="shared" si="36"/>
        <v>0</v>
      </c>
      <c r="AQ169" s="5">
        <f t="shared" si="36"/>
        <v>150</v>
      </c>
    </row>
    <row r="170" spans="1:43" ht="35.450000000000003" customHeight="1">
      <c r="A170" s="146" t="s">
        <v>256</v>
      </c>
      <c r="B170" s="91"/>
      <c r="C170" s="84" t="s">
        <v>257</v>
      </c>
      <c r="D170" s="84" t="s">
        <v>258</v>
      </c>
      <c r="E170" s="84" t="s">
        <v>259</v>
      </c>
      <c r="F170" s="3"/>
      <c r="G170" s="3"/>
      <c r="H170" s="3"/>
      <c r="I170" s="107" t="s">
        <v>21</v>
      </c>
      <c r="J170" s="107" t="s">
        <v>260</v>
      </c>
      <c r="K170" s="109" t="s">
        <v>23</v>
      </c>
      <c r="L170" s="3"/>
      <c r="M170" s="87" t="s">
        <v>261</v>
      </c>
      <c r="N170" s="3">
        <f>P170+R170+T170+V170</f>
        <v>795.1</v>
      </c>
      <c r="O170" s="3">
        <f>Q170+S170+U170+W170</f>
        <v>765.3</v>
      </c>
      <c r="P170" s="3"/>
      <c r="Q170" s="3"/>
      <c r="R170" s="3">
        <v>795.1</v>
      </c>
      <c r="S170" s="3">
        <v>765.3</v>
      </c>
      <c r="T170" s="3"/>
      <c r="U170" s="3"/>
      <c r="V170" s="3"/>
      <c r="W170" s="3"/>
      <c r="X170" s="3">
        <f>Y170+Z170+AA170+AB170</f>
        <v>0</v>
      </c>
      <c r="Y170" s="3"/>
      <c r="Z170" s="3">
        <v>0</v>
      </c>
      <c r="AA170" s="3"/>
      <c r="AB170" s="3"/>
      <c r="AC170" s="3">
        <f>AD170+AE170+AF170+AG170</f>
        <v>0</v>
      </c>
      <c r="AD170" s="3"/>
      <c r="AE170" s="3">
        <v>0</v>
      </c>
      <c r="AF170" s="3"/>
      <c r="AG170" s="3"/>
      <c r="AH170" s="3">
        <f>AI170+AJ170+AK170+AL170</f>
        <v>0</v>
      </c>
      <c r="AI170" s="3"/>
      <c r="AJ170" s="3">
        <v>0</v>
      </c>
      <c r="AK170" s="3"/>
      <c r="AL170" s="3"/>
      <c r="AM170" s="3">
        <f>AN170+AO170+AP170+AQ170</f>
        <v>0</v>
      </c>
      <c r="AN170" s="3"/>
      <c r="AO170" s="3">
        <v>0</v>
      </c>
      <c r="AP170" s="3"/>
      <c r="AQ170" s="3"/>
    </row>
    <row r="171" spans="1:43" ht="35.450000000000003" customHeight="1">
      <c r="A171" s="146" t="s">
        <v>256</v>
      </c>
      <c r="B171" s="91"/>
      <c r="C171" s="199"/>
      <c r="D171" s="3"/>
      <c r="E171" s="3"/>
      <c r="F171" s="3"/>
      <c r="G171" s="3"/>
      <c r="H171" s="3"/>
      <c r="I171" s="202"/>
      <c r="J171" s="3"/>
      <c r="K171" s="3"/>
      <c r="L171" s="3"/>
      <c r="M171" s="87" t="s">
        <v>262</v>
      </c>
      <c r="N171" s="3">
        <f>P171+R171+T171+V171</f>
        <v>49.8</v>
      </c>
      <c r="O171" s="3">
        <f t="shared" ref="O171:O177" si="37">Q171+S171+U171+W171</f>
        <v>26</v>
      </c>
      <c r="P171" s="3"/>
      <c r="Q171" s="3"/>
      <c r="R171" s="3">
        <v>49.8</v>
      </c>
      <c r="S171" s="3">
        <v>26</v>
      </c>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row>
    <row r="172" spans="1:43" ht="35.450000000000003" customHeight="1">
      <c r="A172" s="146" t="s">
        <v>65</v>
      </c>
      <c r="B172" s="91"/>
      <c r="C172" s="81" t="s">
        <v>15</v>
      </c>
      <c r="D172" s="121" t="s">
        <v>110</v>
      </c>
      <c r="E172" s="122" t="s">
        <v>111</v>
      </c>
      <c r="F172" s="3"/>
      <c r="G172" s="3"/>
      <c r="H172" s="3"/>
      <c r="I172" s="202"/>
      <c r="J172" s="3"/>
      <c r="K172" s="3"/>
      <c r="L172" s="3"/>
      <c r="M172" s="87" t="s">
        <v>253</v>
      </c>
      <c r="N172" s="3"/>
      <c r="O172" s="3">
        <f t="shared" si="37"/>
        <v>0</v>
      </c>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row>
    <row r="173" spans="1:43" ht="35.450000000000003" customHeight="1">
      <c r="A173" s="146" t="s">
        <v>65</v>
      </c>
      <c r="B173" s="91"/>
      <c r="C173" s="123"/>
      <c r="D173" s="124"/>
      <c r="E173" s="125"/>
      <c r="F173" s="3"/>
      <c r="G173" s="3"/>
      <c r="H173" s="3"/>
      <c r="I173" s="202"/>
      <c r="J173" s="3"/>
      <c r="K173" s="3"/>
      <c r="L173" s="3"/>
      <c r="M173" s="87" t="s">
        <v>263</v>
      </c>
      <c r="N173" s="3">
        <f>P173+R173+T173+V173</f>
        <v>0</v>
      </c>
      <c r="O173" s="3">
        <f t="shared" si="37"/>
        <v>0</v>
      </c>
      <c r="P173" s="3"/>
      <c r="Q173" s="3"/>
      <c r="R173" s="3"/>
      <c r="S173" s="3"/>
      <c r="T173" s="3"/>
      <c r="U173" s="3"/>
      <c r="V173" s="3"/>
      <c r="W173" s="3"/>
      <c r="X173" s="3">
        <f>Y173+Z173+AA173+AB173</f>
        <v>0</v>
      </c>
      <c r="Y173" s="3"/>
      <c r="Z173" s="3"/>
      <c r="AA173" s="3"/>
      <c r="AB173" s="3"/>
      <c r="AC173" s="3">
        <f>AD173+AE173+AF173+AG173</f>
        <v>0</v>
      </c>
      <c r="AD173" s="3"/>
      <c r="AE173" s="3"/>
      <c r="AF173" s="3"/>
      <c r="AG173" s="3"/>
      <c r="AH173" s="3">
        <f>AI173+AJ173+AK173+AL173</f>
        <v>0</v>
      </c>
      <c r="AI173" s="3"/>
      <c r="AJ173" s="3"/>
      <c r="AK173" s="3"/>
      <c r="AL173" s="3"/>
      <c r="AM173" s="3">
        <f>AN173+AO173+AP173+AQ173</f>
        <v>0</v>
      </c>
      <c r="AN173" s="3"/>
      <c r="AO173" s="3"/>
      <c r="AP173" s="3"/>
      <c r="AQ173" s="3"/>
    </row>
    <row r="174" spans="1:43" ht="35.450000000000003" customHeight="1">
      <c r="A174" s="146" t="s">
        <v>30</v>
      </c>
      <c r="B174" s="91"/>
      <c r="C174" s="199"/>
      <c r="D174" s="3"/>
      <c r="E174" s="3"/>
      <c r="F174" s="3"/>
      <c r="G174" s="3"/>
      <c r="H174" s="3"/>
      <c r="I174" s="203"/>
      <c r="J174" s="3"/>
      <c r="K174" s="3"/>
      <c r="L174" s="3"/>
      <c r="M174" s="87" t="s">
        <v>264</v>
      </c>
      <c r="N174" s="3">
        <f>P174+R174+T174+V174</f>
        <v>340</v>
      </c>
      <c r="O174" s="3">
        <f t="shared" si="37"/>
        <v>99.7</v>
      </c>
      <c r="P174" s="3"/>
      <c r="Q174" s="3"/>
      <c r="R174" s="3"/>
      <c r="S174" s="3"/>
      <c r="T174" s="3"/>
      <c r="U174" s="3"/>
      <c r="V174" s="3">
        <f>100+240</f>
        <v>340</v>
      </c>
      <c r="W174" s="3">
        <v>99.7</v>
      </c>
      <c r="X174" s="3">
        <f>Y174+Z174+AA174+AB174</f>
        <v>100</v>
      </c>
      <c r="Y174" s="3"/>
      <c r="Z174" s="3"/>
      <c r="AA174" s="3"/>
      <c r="AB174" s="3">
        <v>100</v>
      </c>
      <c r="AC174" s="3">
        <f>AD174+AE174+AF174+AG174</f>
        <v>100</v>
      </c>
      <c r="AD174" s="3"/>
      <c r="AE174" s="3"/>
      <c r="AF174" s="3"/>
      <c r="AG174" s="3">
        <v>100</v>
      </c>
      <c r="AH174" s="3">
        <f>AI174+AJ174+AK174+AL174</f>
        <v>100</v>
      </c>
      <c r="AI174" s="3"/>
      <c r="AJ174" s="3"/>
      <c r="AK174" s="3"/>
      <c r="AL174" s="3">
        <v>100</v>
      </c>
      <c r="AM174" s="3">
        <f>AN174+AO174+AP174+AQ174</f>
        <v>100</v>
      </c>
      <c r="AN174" s="3"/>
      <c r="AO174" s="3"/>
      <c r="AP174" s="3"/>
      <c r="AQ174" s="3">
        <v>100</v>
      </c>
    </row>
    <row r="175" spans="1:43" ht="35.450000000000003" customHeight="1">
      <c r="A175" s="146" t="s">
        <v>65</v>
      </c>
      <c r="B175" s="91"/>
      <c r="C175" s="199"/>
      <c r="D175" s="3"/>
      <c r="E175" s="3"/>
      <c r="F175" s="3"/>
      <c r="G175" s="3"/>
      <c r="H175" s="3"/>
      <c r="I175" s="203"/>
      <c r="J175" s="3"/>
      <c r="K175" s="3"/>
      <c r="L175" s="3"/>
      <c r="M175" s="87" t="s">
        <v>265</v>
      </c>
      <c r="N175" s="3">
        <f>P175+R175+T175+V175</f>
        <v>0</v>
      </c>
      <c r="O175" s="3">
        <f t="shared" si="37"/>
        <v>0</v>
      </c>
      <c r="P175" s="3"/>
      <c r="Q175" s="3"/>
      <c r="R175" s="3"/>
      <c r="S175" s="3"/>
      <c r="T175" s="3"/>
      <c r="U175" s="3"/>
      <c r="V175" s="3"/>
      <c r="W175" s="3"/>
      <c r="X175" s="3">
        <f>Y175+Z175+AA175+AB175</f>
        <v>0</v>
      </c>
      <c r="Y175" s="3"/>
      <c r="Z175" s="3"/>
      <c r="AA175" s="3"/>
      <c r="AB175" s="3"/>
      <c r="AC175" s="3">
        <f>AD175+AE175+AF175+AG175</f>
        <v>0</v>
      </c>
      <c r="AD175" s="3"/>
      <c r="AE175" s="3"/>
      <c r="AF175" s="3"/>
      <c r="AG175" s="3"/>
      <c r="AH175" s="3">
        <f>AI175+AJ175+AK175+AL175</f>
        <v>0</v>
      </c>
      <c r="AI175" s="3"/>
      <c r="AJ175" s="3"/>
      <c r="AK175" s="3"/>
      <c r="AL175" s="3"/>
      <c r="AM175" s="3">
        <f>AN175+AO175+AP175+AQ175</f>
        <v>0</v>
      </c>
      <c r="AN175" s="3"/>
      <c r="AO175" s="3"/>
      <c r="AP175" s="3"/>
      <c r="AQ175" s="3"/>
    </row>
    <row r="176" spans="1:43" ht="35.450000000000003" customHeight="1">
      <c r="A176" s="146" t="s">
        <v>30</v>
      </c>
      <c r="B176" s="91"/>
      <c r="C176" s="199"/>
      <c r="D176" s="3"/>
      <c r="E176" s="3"/>
      <c r="F176" s="3"/>
      <c r="G176" s="3"/>
      <c r="H176" s="3"/>
      <c r="I176" s="204"/>
      <c r="J176" s="3"/>
      <c r="K176" s="3"/>
      <c r="L176" s="3"/>
      <c r="M176" s="87" t="s">
        <v>266</v>
      </c>
      <c r="N176" s="3">
        <f>P176+R176+T176+V176</f>
        <v>41.9</v>
      </c>
      <c r="O176" s="3">
        <f t="shared" si="37"/>
        <v>40.299999999999997</v>
      </c>
      <c r="P176" s="3"/>
      <c r="Q176" s="3"/>
      <c r="R176" s="3"/>
      <c r="S176" s="3"/>
      <c r="T176" s="3"/>
      <c r="U176" s="3"/>
      <c r="V176" s="3">
        <v>41.9</v>
      </c>
      <c r="W176" s="3">
        <v>40.299999999999997</v>
      </c>
      <c r="X176" s="3">
        <f>Y176+Z176+AA176+AB176</f>
        <v>865.69999999999993</v>
      </c>
      <c r="Y176" s="3"/>
      <c r="Z176" s="3">
        <v>822.4</v>
      </c>
      <c r="AA176" s="3"/>
      <c r="AB176" s="3">
        <v>43.3</v>
      </c>
      <c r="AC176" s="3">
        <f>AD176+AE176+AF176+AG176</f>
        <v>822.4</v>
      </c>
      <c r="AD176" s="3"/>
      <c r="AE176" s="3">
        <v>822.4</v>
      </c>
      <c r="AF176" s="3"/>
      <c r="AG176" s="3">
        <v>0</v>
      </c>
      <c r="AH176" s="3">
        <f>AI176+AJ176+AK176+AL176</f>
        <v>822.4</v>
      </c>
      <c r="AI176" s="3"/>
      <c r="AJ176" s="3">
        <v>822.4</v>
      </c>
      <c r="AK176" s="3"/>
      <c r="AL176" s="3">
        <v>0</v>
      </c>
      <c r="AM176" s="3">
        <f>AN176+AO176+AP176+AQ176</f>
        <v>822.4</v>
      </c>
      <c r="AN176" s="3"/>
      <c r="AO176" s="3">
        <v>822.4</v>
      </c>
      <c r="AP176" s="3"/>
      <c r="AQ176" s="3">
        <v>0</v>
      </c>
    </row>
    <row r="177" spans="1:43" ht="35.450000000000003" customHeight="1">
      <c r="A177" s="146" t="s">
        <v>30</v>
      </c>
      <c r="B177" s="91"/>
      <c r="C177" s="199"/>
      <c r="D177" s="3"/>
      <c r="E177" s="3"/>
      <c r="F177" s="3"/>
      <c r="G177" s="3"/>
      <c r="H177" s="3"/>
      <c r="I177" s="205"/>
      <c r="J177" s="3"/>
      <c r="K177" s="3"/>
      <c r="L177" s="3"/>
      <c r="M177" s="87" t="s">
        <v>267</v>
      </c>
      <c r="N177" s="3">
        <f>P177+R177+T177+V177</f>
        <v>0.1</v>
      </c>
      <c r="O177" s="3">
        <f t="shared" si="37"/>
        <v>0</v>
      </c>
      <c r="P177" s="3"/>
      <c r="Q177" s="3"/>
      <c r="R177" s="3"/>
      <c r="S177" s="3"/>
      <c r="T177" s="3"/>
      <c r="U177" s="3"/>
      <c r="V177" s="3">
        <v>0.1</v>
      </c>
      <c r="W177" s="3">
        <v>0</v>
      </c>
      <c r="X177" s="3">
        <f>Y177+Z177+AA177+AB177</f>
        <v>50</v>
      </c>
      <c r="Y177" s="3"/>
      <c r="Z177" s="3"/>
      <c r="AA177" s="3"/>
      <c r="AB177" s="3">
        <v>50</v>
      </c>
      <c r="AC177" s="3">
        <f>AD177+AE177+AF177+AG177</f>
        <v>50</v>
      </c>
      <c r="AD177" s="3"/>
      <c r="AE177" s="3"/>
      <c r="AF177" s="3"/>
      <c r="AG177" s="3">
        <v>50</v>
      </c>
      <c r="AH177" s="3">
        <f>AI177+AJ177+AK177+AL177</f>
        <v>50</v>
      </c>
      <c r="AI177" s="3"/>
      <c r="AJ177" s="3"/>
      <c r="AK177" s="3"/>
      <c r="AL177" s="3">
        <v>50</v>
      </c>
      <c r="AM177" s="3">
        <f>AN177+AO177+AP177+AQ177</f>
        <v>50</v>
      </c>
      <c r="AN177" s="3"/>
      <c r="AO177" s="3"/>
      <c r="AP177" s="3"/>
      <c r="AQ177" s="3">
        <v>50</v>
      </c>
    </row>
    <row r="178" spans="1:43" ht="35.450000000000003" customHeight="1">
      <c r="A178" s="200" t="s">
        <v>268</v>
      </c>
      <c r="B178" s="160">
        <v>2522</v>
      </c>
      <c r="C178" s="201"/>
      <c r="D178" s="5"/>
      <c r="E178" s="5"/>
      <c r="F178" s="5"/>
      <c r="G178" s="5"/>
      <c r="H178" s="5"/>
      <c r="I178" s="5"/>
      <c r="J178" s="5"/>
      <c r="K178" s="5"/>
      <c r="L178" s="5">
        <v>6</v>
      </c>
      <c r="M178" s="5"/>
      <c r="N178" s="126">
        <f t="shared" ref="N178:W178" si="38">N179+N183+N184+N185+N189+N190+N191+N192+N193+N195+N196+N197+N199+N200+N201+N202+N205+N194+N198+N180+N206+N203+N204</f>
        <v>146985.9</v>
      </c>
      <c r="O178" s="126">
        <f>Q178+S178+U178+W178</f>
        <v>144638.9</v>
      </c>
      <c r="P178" s="126">
        <f t="shared" si="38"/>
        <v>0</v>
      </c>
      <c r="Q178" s="126">
        <f t="shared" si="38"/>
        <v>0</v>
      </c>
      <c r="R178" s="126">
        <f t="shared" si="38"/>
        <v>12935.6</v>
      </c>
      <c r="S178" s="126">
        <f t="shared" si="38"/>
        <v>12935.5</v>
      </c>
      <c r="T178" s="126">
        <f t="shared" si="38"/>
        <v>0</v>
      </c>
      <c r="U178" s="126">
        <f t="shared" si="38"/>
        <v>0</v>
      </c>
      <c r="V178" s="126">
        <f t="shared" si="38"/>
        <v>134050.30000000002</v>
      </c>
      <c r="W178" s="126">
        <f t="shared" si="38"/>
        <v>131703.4</v>
      </c>
      <c r="X178" s="126">
        <f>X179+X183+X184+X185+X189+X190+X191+X192+X193+X195+X196+X197+X199+X200+X201+X202+X205+X194+X198+X180+X206+X181+X182</f>
        <v>157202.59999999998</v>
      </c>
      <c r="Y178" s="126">
        <f t="shared" ref="Y178:AQ178" si="39">Y179+Y183+Y184+Y185+Y189+Y190+Y191+Y192+Y193+Y195+Y196+Y197+Y199+Y200+Y201+Y202+Y205+Y194+Y198+Y180+Y206+Y181+Y182</f>
        <v>0</v>
      </c>
      <c r="Z178" s="126">
        <f t="shared" si="39"/>
        <v>1576</v>
      </c>
      <c r="AA178" s="126">
        <f t="shared" si="39"/>
        <v>0</v>
      </c>
      <c r="AB178" s="126">
        <f t="shared" si="39"/>
        <v>155626.59999999998</v>
      </c>
      <c r="AC178" s="126">
        <f t="shared" si="39"/>
        <v>142386.6</v>
      </c>
      <c r="AD178" s="126">
        <f t="shared" si="39"/>
        <v>0</v>
      </c>
      <c r="AE178" s="126">
        <f t="shared" si="39"/>
        <v>1576</v>
      </c>
      <c r="AF178" s="126">
        <f t="shared" si="39"/>
        <v>0</v>
      </c>
      <c r="AG178" s="126">
        <f t="shared" si="39"/>
        <v>140810.6</v>
      </c>
      <c r="AH178" s="126">
        <f t="shared" si="39"/>
        <v>215713.09999999998</v>
      </c>
      <c r="AI178" s="126">
        <f t="shared" si="39"/>
        <v>55437.599999999999</v>
      </c>
      <c r="AJ178" s="126">
        <f t="shared" si="39"/>
        <v>18125</v>
      </c>
      <c r="AK178" s="126">
        <f t="shared" si="39"/>
        <v>0</v>
      </c>
      <c r="AL178" s="126">
        <f t="shared" si="39"/>
        <v>142150.5</v>
      </c>
      <c r="AM178" s="126">
        <f t="shared" si="39"/>
        <v>215713.09999999998</v>
      </c>
      <c r="AN178" s="126">
        <f t="shared" si="39"/>
        <v>55437.599999999999</v>
      </c>
      <c r="AO178" s="126">
        <f t="shared" si="39"/>
        <v>18125</v>
      </c>
      <c r="AP178" s="126">
        <f t="shared" si="39"/>
        <v>0</v>
      </c>
      <c r="AQ178" s="126">
        <f t="shared" si="39"/>
        <v>142150.5</v>
      </c>
    </row>
    <row r="179" spans="1:43" ht="35.450000000000003" customHeight="1">
      <c r="A179" s="146" t="s">
        <v>269</v>
      </c>
      <c r="B179" s="206"/>
      <c r="C179" s="118" t="s">
        <v>191</v>
      </c>
      <c r="D179" s="118" t="s">
        <v>270</v>
      </c>
      <c r="E179" s="118" t="s">
        <v>271</v>
      </c>
      <c r="F179" s="84" t="s">
        <v>272</v>
      </c>
      <c r="G179" s="84" t="s">
        <v>19</v>
      </c>
      <c r="H179" s="84" t="s">
        <v>273</v>
      </c>
      <c r="I179" s="107" t="s">
        <v>21</v>
      </c>
      <c r="J179" s="107" t="s">
        <v>274</v>
      </c>
      <c r="K179" s="109" t="s">
        <v>23</v>
      </c>
      <c r="L179" s="3"/>
      <c r="M179" s="87" t="s">
        <v>275</v>
      </c>
      <c r="N179" s="3">
        <f>P179+R179+T179+V179</f>
        <v>0</v>
      </c>
      <c r="O179" s="3">
        <f>Q179+S179+U179+W179</f>
        <v>0</v>
      </c>
      <c r="P179" s="3">
        <f>R179+T179+V179+SE1054</f>
        <v>0</v>
      </c>
      <c r="Q179" s="3"/>
      <c r="R179" s="3">
        <f>T179+V179+SE1054+SF1054</f>
        <v>0</v>
      </c>
      <c r="S179" s="3"/>
      <c r="T179" s="3">
        <f>V179+SE1054+SF1054+SG1054</f>
        <v>0</v>
      </c>
      <c r="U179" s="3"/>
      <c r="V179" s="3">
        <f>SE1054+SF1054+SG1054+SH1054</f>
        <v>0</v>
      </c>
      <c r="W179" s="3"/>
      <c r="X179" s="3">
        <f t="shared" ref="X179:X185" si="40">Y179+Z179+AA179+AB179</f>
        <v>0</v>
      </c>
      <c r="Y179" s="3">
        <f>Z179+AA179+AB179+LL1054</f>
        <v>0</v>
      </c>
      <c r="Z179" s="3">
        <f>AA179+AB179+LL1054+LM1054</f>
        <v>0</v>
      </c>
      <c r="AA179" s="3">
        <f>AB179+LL1054+LM1054+LN1054</f>
        <v>0</v>
      </c>
      <c r="AB179" s="3">
        <f>LL1054+LM1054+LN1054+LO1054</f>
        <v>0</v>
      </c>
      <c r="AC179" s="3">
        <f t="shared" ref="AC179:AC185" si="41">AD179+AE179+AF179+AG179</f>
        <v>0</v>
      </c>
      <c r="AD179" s="3">
        <f>AE179+AF179+AG179+IE1054</f>
        <v>0</v>
      </c>
      <c r="AE179" s="3">
        <f>AF179+AG179+IE1054+IF1054</f>
        <v>0</v>
      </c>
      <c r="AF179" s="3">
        <f>AG179+IE1054+IF1054+IG1054</f>
        <v>0</v>
      </c>
      <c r="AG179" s="3">
        <f>IE1054+IF1054+IG1054+IH1054</f>
        <v>0</v>
      </c>
      <c r="AH179" s="3">
        <f>AI179+AJ179+AK179+AL179</f>
        <v>0</v>
      </c>
      <c r="AI179" s="3">
        <f>AJ179+AK179+AL179+EN179</f>
        <v>0</v>
      </c>
      <c r="AJ179" s="3">
        <f>AK179+AL179+EN179+EO179</f>
        <v>0</v>
      </c>
      <c r="AK179" s="3">
        <f>AL179+EN179+EO179+EP179</f>
        <v>0</v>
      </c>
      <c r="AL179" s="3">
        <f>EN179+EO179+EP179+EQ179</f>
        <v>0</v>
      </c>
      <c r="AM179" s="3">
        <f>AN179+AO179+AP179+AQ179</f>
        <v>0</v>
      </c>
      <c r="AN179" s="3">
        <f>AO179+AP179+AQ179+ES179</f>
        <v>0</v>
      </c>
      <c r="AO179" s="3">
        <f>AP179+AQ179+ES179+ET179</f>
        <v>0</v>
      </c>
      <c r="AP179" s="3">
        <f>AQ179+ES179+ET179+EU179</f>
        <v>0</v>
      </c>
      <c r="AQ179" s="3">
        <f>ES179+ET179+EU179+EV179</f>
        <v>0</v>
      </c>
    </row>
    <row r="180" spans="1:43" ht="35.450000000000003" customHeight="1">
      <c r="A180" s="146" t="s">
        <v>269</v>
      </c>
      <c r="B180" s="206"/>
      <c r="C180" s="64"/>
      <c r="D180" s="64"/>
      <c r="E180" s="64"/>
      <c r="F180" s="95" t="s">
        <v>568</v>
      </c>
      <c r="G180" s="139" t="s">
        <v>277</v>
      </c>
      <c r="H180" s="139" t="s">
        <v>390</v>
      </c>
      <c r="I180" s="207" t="s">
        <v>276</v>
      </c>
      <c r="J180" s="64" t="s">
        <v>277</v>
      </c>
      <c r="K180" s="208"/>
      <c r="L180" s="3"/>
      <c r="M180" s="87" t="s">
        <v>278</v>
      </c>
      <c r="N180" s="3">
        <f>P180+R180+T180+V180</f>
        <v>1630</v>
      </c>
      <c r="O180" s="3">
        <f t="shared" ref="O180:O209" si="42">Q180+S180+U180+W180</f>
        <v>1629.9</v>
      </c>
      <c r="P180" s="3"/>
      <c r="Q180" s="3"/>
      <c r="R180" s="3">
        <v>1630</v>
      </c>
      <c r="S180" s="3">
        <v>1629.9</v>
      </c>
      <c r="T180" s="3"/>
      <c r="U180" s="3"/>
      <c r="V180" s="3"/>
      <c r="W180" s="3"/>
      <c r="X180" s="3">
        <f t="shared" si="40"/>
        <v>1733.6</v>
      </c>
      <c r="Y180" s="3"/>
      <c r="Z180" s="3">
        <v>1576</v>
      </c>
      <c r="AA180" s="3"/>
      <c r="AB180" s="3">
        <v>157.6</v>
      </c>
      <c r="AC180" s="3">
        <f t="shared" si="41"/>
        <v>1733.6</v>
      </c>
      <c r="AD180" s="3"/>
      <c r="AE180" s="3">
        <v>1576</v>
      </c>
      <c r="AF180" s="3"/>
      <c r="AG180" s="3">
        <v>157.6</v>
      </c>
      <c r="AH180" s="3">
        <f>AI180+AJ180+AK180+AL180</f>
        <v>1733.6</v>
      </c>
      <c r="AI180" s="3"/>
      <c r="AJ180" s="3">
        <v>1576</v>
      </c>
      <c r="AK180" s="3"/>
      <c r="AL180" s="3">
        <v>157.6</v>
      </c>
      <c r="AM180" s="3">
        <f>AN180+AO180+AP180+AQ180</f>
        <v>1733.6</v>
      </c>
      <c r="AN180" s="3"/>
      <c r="AO180" s="3">
        <v>1576</v>
      </c>
      <c r="AP180" s="3"/>
      <c r="AQ180" s="3">
        <v>157.6</v>
      </c>
    </row>
    <row r="181" spans="1:43" ht="35.450000000000003" customHeight="1">
      <c r="A181" s="146" t="s">
        <v>269</v>
      </c>
      <c r="B181" s="206"/>
      <c r="C181" s="64"/>
      <c r="D181" s="64"/>
      <c r="E181" s="64"/>
      <c r="F181" s="64"/>
      <c r="G181" s="64"/>
      <c r="H181" s="4"/>
      <c r="I181" s="209" t="s">
        <v>290</v>
      </c>
      <c r="J181" s="64" t="s">
        <v>277</v>
      </c>
      <c r="K181" s="208"/>
      <c r="L181" s="3"/>
      <c r="M181" s="87" t="s">
        <v>279</v>
      </c>
      <c r="N181" s="3"/>
      <c r="O181" s="3">
        <f t="shared" si="42"/>
        <v>0</v>
      </c>
      <c r="P181" s="3"/>
      <c r="Q181" s="3"/>
      <c r="R181" s="3"/>
      <c r="S181" s="3"/>
      <c r="T181" s="3"/>
      <c r="U181" s="3"/>
      <c r="V181" s="3"/>
      <c r="W181" s="3"/>
      <c r="X181" s="3">
        <f t="shared" si="40"/>
        <v>0</v>
      </c>
      <c r="Y181" s="3"/>
      <c r="Z181" s="3">
        <v>0</v>
      </c>
      <c r="AA181" s="3"/>
      <c r="AB181" s="3"/>
      <c r="AC181" s="3">
        <f t="shared" si="41"/>
        <v>0</v>
      </c>
      <c r="AD181" s="3"/>
      <c r="AE181" s="3">
        <v>0</v>
      </c>
      <c r="AF181" s="3"/>
      <c r="AG181" s="3"/>
      <c r="AH181" s="3">
        <f>AI181+AJ181+AK181+AL181</f>
        <v>7600.3</v>
      </c>
      <c r="AI181" s="3"/>
      <c r="AJ181" s="3">
        <v>7524.3</v>
      </c>
      <c r="AK181" s="3"/>
      <c r="AL181" s="3">
        <v>76</v>
      </c>
      <c r="AM181" s="3">
        <f>AN181+AO181+AP181+AQ181</f>
        <v>7600.3</v>
      </c>
      <c r="AN181" s="3"/>
      <c r="AO181" s="3">
        <v>7524.3</v>
      </c>
      <c r="AP181" s="3"/>
      <c r="AQ181" s="3">
        <v>76</v>
      </c>
    </row>
    <row r="182" spans="1:43" ht="35.450000000000003" customHeight="1">
      <c r="A182" s="146" t="s">
        <v>269</v>
      </c>
      <c r="B182" s="206"/>
      <c r="C182" s="64"/>
      <c r="D182" s="64"/>
      <c r="E182" s="64"/>
      <c r="F182" s="64"/>
      <c r="G182" s="64"/>
      <c r="H182" s="4"/>
      <c r="I182" s="208"/>
      <c r="J182" s="64"/>
      <c r="K182" s="208"/>
      <c r="L182" s="3"/>
      <c r="M182" s="87" t="s">
        <v>280</v>
      </c>
      <c r="N182" s="3"/>
      <c r="O182" s="3">
        <f t="shared" si="42"/>
        <v>0</v>
      </c>
      <c r="P182" s="3"/>
      <c r="Q182" s="3"/>
      <c r="R182" s="3"/>
      <c r="S182" s="3"/>
      <c r="T182" s="3"/>
      <c r="U182" s="3"/>
      <c r="V182" s="3"/>
      <c r="W182" s="3"/>
      <c r="X182" s="3">
        <f t="shared" si="40"/>
        <v>0</v>
      </c>
      <c r="Y182" s="3">
        <v>0</v>
      </c>
      <c r="Z182" s="3">
        <v>0</v>
      </c>
      <c r="AA182" s="3"/>
      <c r="AB182" s="3"/>
      <c r="AC182" s="3">
        <f t="shared" si="41"/>
        <v>0</v>
      </c>
      <c r="AD182" s="3">
        <v>0</v>
      </c>
      <c r="AE182" s="3">
        <v>0</v>
      </c>
      <c r="AF182" s="3"/>
      <c r="AG182" s="3"/>
      <c r="AH182" s="3">
        <f>AI182+AJ182+AK182+AL182</f>
        <v>65023.4</v>
      </c>
      <c r="AI182" s="3">
        <v>55437.599999999999</v>
      </c>
      <c r="AJ182" s="3">
        <v>9024.7000000000007</v>
      </c>
      <c r="AK182" s="3"/>
      <c r="AL182" s="3">
        <v>561.1</v>
      </c>
      <c r="AM182" s="3">
        <f>AN182+AO182+AP182+AQ182</f>
        <v>65023.4</v>
      </c>
      <c r="AN182" s="3">
        <v>55437.599999999999</v>
      </c>
      <c r="AO182" s="3">
        <v>9024.7000000000007</v>
      </c>
      <c r="AP182" s="3"/>
      <c r="AQ182" s="3">
        <v>561.1</v>
      </c>
    </row>
    <row r="183" spans="1:43" ht="35.450000000000003" customHeight="1">
      <c r="A183" s="146" t="s">
        <v>269</v>
      </c>
      <c r="B183" s="206"/>
      <c r="C183" s="64"/>
      <c r="D183" s="64"/>
      <c r="E183" s="64"/>
      <c r="F183" s="208"/>
      <c r="G183" s="64"/>
      <c r="H183" s="208"/>
      <c r="I183" s="208"/>
      <c r="J183" s="64"/>
      <c r="K183" s="208"/>
      <c r="L183" s="3"/>
      <c r="M183" s="87" t="s">
        <v>281</v>
      </c>
      <c r="N183" s="3">
        <f>P183+R183+T183+V183</f>
        <v>0</v>
      </c>
      <c r="O183" s="3">
        <f t="shared" si="42"/>
        <v>0</v>
      </c>
      <c r="P183" s="3"/>
      <c r="Q183" s="3"/>
      <c r="R183" s="3"/>
      <c r="S183" s="3"/>
      <c r="T183" s="3"/>
      <c r="U183" s="3"/>
      <c r="V183" s="3"/>
      <c r="W183" s="3"/>
      <c r="X183" s="3">
        <f t="shared" si="40"/>
        <v>0</v>
      </c>
      <c r="Y183" s="3"/>
      <c r="Z183" s="3"/>
      <c r="AA183" s="3"/>
      <c r="AB183" s="3"/>
      <c r="AC183" s="3">
        <f t="shared" si="41"/>
        <v>0</v>
      </c>
      <c r="AD183" s="3"/>
      <c r="AE183" s="3"/>
      <c r="AF183" s="3"/>
      <c r="AG183" s="3"/>
      <c r="AH183" s="5">
        <f>AI183+AJ183+AK183+AL183</f>
        <v>0</v>
      </c>
      <c r="AI183" s="3"/>
      <c r="AJ183" s="3"/>
      <c r="AK183" s="3"/>
      <c r="AL183" s="3"/>
      <c r="AM183" s="5">
        <f>AN183+AO183+AP183+AQ183</f>
        <v>0</v>
      </c>
      <c r="AN183" s="3"/>
      <c r="AO183" s="3"/>
      <c r="AP183" s="3"/>
      <c r="AQ183" s="3"/>
    </row>
    <row r="184" spans="1:43" ht="35.450000000000003" customHeight="1">
      <c r="A184" s="146" t="s">
        <v>269</v>
      </c>
      <c r="B184" s="206"/>
      <c r="C184" s="64"/>
      <c r="D184" s="64"/>
      <c r="E184" s="64"/>
      <c r="F184" s="64"/>
      <c r="G184" s="64"/>
      <c r="H184" s="4"/>
      <c r="I184" s="208"/>
      <c r="J184" s="64"/>
      <c r="K184" s="208"/>
      <c r="L184" s="3"/>
      <c r="M184" s="87" t="s">
        <v>282</v>
      </c>
      <c r="N184" s="3">
        <f>P184+R184+T184+V184</f>
        <v>0</v>
      </c>
      <c r="O184" s="3">
        <f t="shared" si="42"/>
        <v>0</v>
      </c>
      <c r="P184" s="3"/>
      <c r="Q184" s="3"/>
      <c r="R184" s="3"/>
      <c r="S184" s="3"/>
      <c r="T184" s="3"/>
      <c r="U184" s="3"/>
      <c r="V184" s="3"/>
      <c r="W184" s="3"/>
      <c r="X184" s="3">
        <f t="shared" si="40"/>
        <v>0</v>
      </c>
      <c r="Y184" s="3"/>
      <c r="Z184" s="3"/>
      <c r="AA184" s="3"/>
      <c r="AB184" s="3"/>
      <c r="AC184" s="3">
        <f t="shared" si="41"/>
        <v>0</v>
      </c>
      <c r="AD184" s="3"/>
      <c r="AE184" s="3"/>
      <c r="AF184" s="3"/>
      <c r="AG184" s="3"/>
      <c r="AH184" s="5"/>
      <c r="AI184" s="3"/>
      <c r="AJ184" s="3"/>
      <c r="AK184" s="3"/>
      <c r="AL184" s="3"/>
      <c r="AM184" s="5"/>
      <c r="AN184" s="3"/>
      <c r="AO184" s="3"/>
      <c r="AP184" s="3"/>
      <c r="AQ184" s="3"/>
    </row>
    <row r="185" spans="1:43" ht="35.450000000000003" customHeight="1">
      <c r="A185" s="146" t="s">
        <v>269</v>
      </c>
      <c r="B185" s="206"/>
      <c r="C185" s="64"/>
      <c r="D185" s="64"/>
      <c r="E185" s="64"/>
      <c r="F185" s="64"/>
      <c r="G185" s="64"/>
      <c r="H185" s="4"/>
      <c r="I185" s="207"/>
      <c r="J185" s="64"/>
      <c r="K185" s="208"/>
      <c r="L185" s="3"/>
      <c r="M185" s="87" t="s">
        <v>283</v>
      </c>
      <c r="N185" s="3">
        <f>P185+R185+T185+V185</f>
        <v>0</v>
      </c>
      <c r="O185" s="3">
        <f t="shared" si="42"/>
        <v>0</v>
      </c>
      <c r="P185" s="3"/>
      <c r="Q185" s="3"/>
      <c r="R185" s="3"/>
      <c r="S185" s="3"/>
      <c r="T185" s="3"/>
      <c r="U185" s="3"/>
      <c r="V185" s="3"/>
      <c r="W185" s="3"/>
      <c r="X185" s="3">
        <f t="shared" si="40"/>
        <v>0</v>
      </c>
      <c r="Y185" s="3"/>
      <c r="Z185" s="3"/>
      <c r="AA185" s="3"/>
      <c r="AB185" s="3"/>
      <c r="AC185" s="3">
        <f t="shared" si="41"/>
        <v>0</v>
      </c>
      <c r="AD185" s="3"/>
      <c r="AE185" s="3"/>
      <c r="AF185" s="3"/>
      <c r="AG185" s="3"/>
      <c r="AH185" s="5"/>
      <c r="AI185" s="3"/>
      <c r="AJ185" s="3"/>
      <c r="AK185" s="3"/>
      <c r="AL185" s="3"/>
      <c r="AM185" s="5"/>
      <c r="AN185" s="3"/>
      <c r="AO185" s="3"/>
      <c r="AP185" s="3"/>
      <c r="AQ185" s="3"/>
    </row>
    <row r="186" spans="1:43" ht="35.450000000000003" customHeight="1">
      <c r="A186" s="146" t="s">
        <v>269</v>
      </c>
      <c r="B186" s="156"/>
      <c r="C186" s="64"/>
      <c r="D186" s="64"/>
      <c r="E186" s="64"/>
      <c r="F186" s="139"/>
      <c r="G186" s="64"/>
      <c r="H186" s="4"/>
      <c r="I186" s="207"/>
      <c r="J186" s="64"/>
      <c r="K186" s="208"/>
      <c r="L186" s="3"/>
      <c r="M186" s="87" t="s">
        <v>284</v>
      </c>
      <c r="N186" s="3"/>
      <c r="O186" s="3">
        <f t="shared" si="42"/>
        <v>0</v>
      </c>
      <c r="P186" s="3"/>
      <c r="Q186" s="3"/>
      <c r="R186" s="3"/>
      <c r="S186" s="3"/>
      <c r="T186" s="3"/>
      <c r="U186" s="3"/>
      <c r="V186" s="3"/>
      <c r="W186" s="3"/>
      <c r="X186" s="3"/>
      <c r="Y186" s="3"/>
      <c r="Z186" s="3"/>
      <c r="AA186" s="3"/>
      <c r="AB186" s="3"/>
      <c r="AC186" s="3"/>
      <c r="AD186" s="3"/>
      <c r="AE186" s="3"/>
      <c r="AF186" s="3"/>
      <c r="AG186" s="3"/>
      <c r="AH186" s="5"/>
      <c r="AI186" s="3"/>
      <c r="AJ186" s="3"/>
      <c r="AK186" s="3"/>
      <c r="AL186" s="3"/>
      <c r="AM186" s="5"/>
      <c r="AN186" s="3"/>
      <c r="AO186" s="3"/>
      <c r="AP186" s="3"/>
      <c r="AQ186" s="3"/>
    </row>
    <row r="187" spans="1:43" ht="35.450000000000003" customHeight="1">
      <c r="A187" s="146" t="s">
        <v>269</v>
      </c>
      <c r="B187" s="156"/>
      <c r="C187" s="64"/>
      <c r="D187" s="64"/>
      <c r="E187" s="64"/>
      <c r="F187" s="139"/>
      <c r="G187" s="64"/>
      <c r="H187" s="4"/>
      <c r="I187" s="207"/>
      <c r="J187" s="64"/>
      <c r="K187" s="208"/>
      <c r="L187" s="3"/>
      <c r="M187" s="87" t="s">
        <v>285</v>
      </c>
      <c r="N187" s="3"/>
      <c r="O187" s="3">
        <f t="shared" si="42"/>
        <v>0</v>
      </c>
      <c r="P187" s="3"/>
      <c r="Q187" s="3"/>
      <c r="R187" s="3"/>
      <c r="S187" s="3"/>
      <c r="T187" s="3"/>
      <c r="U187" s="3"/>
      <c r="V187" s="3"/>
      <c r="W187" s="3"/>
      <c r="X187" s="3"/>
      <c r="Y187" s="3"/>
      <c r="Z187" s="3"/>
      <c r="AA187" s="3"/>
      <c r="AB187" s="3"/>
      <c r="AC187" s="3"/>
      <c r="AD187" s="3"/>
      <c r="AE187" s="3"/>
      <c r="AF187" s="3"/>
      <c r="AG187" s="3"/>
      <c r="AH187" s="5"/>
      <c r="AI187" s="3"/>
      <c r="AJ187" s="3"/>
      <c r="AK187" s="3"/>
      <c r="AL187" s="3"/>
      <c r="AM187" s="5"/>
      <c r="AN187" s="3"/>
      <c r="AO187" s="3"/>
      <c r="AP187" s="3"/>
      <c r="AQ187" s="3"/>
    </row>
    <row r="188" spans="1:43" ht="35.450000000000003" customHeight="1">
      <c r="A188" s="146" t="s">
        <v>269</v>
      </c>
      <c r="B188" s="156"/>
      <c r="C188" s="64"/>
      <c r="D188" s="64"/>
      <c r="E188" s="64"/>
      <c r="F188" s="139"/>
      <c r="G188" s="64"/>
      <c r="H188" s="4"/>
      <c r="I188" s="207"/>
      <c r="J188" s="64"/>
      <c r="K188" s="208"/>
      <c r="L188" s="3"/>
      <c r="M188" s="87" t="s">
        <v>286</v>
      </c>
      <c r="N188" s="3"/>
      <c r="O188" s="3">
        <f t="shared" si="42"/>
        <v>0</v>
      </c>
      <c r="P188" s="3"/>
      <c r="Q188" s="3"/>
      <c r="R188" s="3"/>
      <c r="S188" s="3"/>
      <c r="T188" s="3"/>
      <c r="U188" s="3"/>
      <c r="V188" s="3"/>
      <c r="W188" s="3"/>
      <c r="X188" s="3"/>
      <c r="Y188" s="3"/>
      <c r="Z188" s="3"/>
      <c r="AA188" s="3"/>
      <c r="AB188" s="3"/>
      <c r="AC188" s="3"/>
      <c r="AD188" s="3"/>
      <c r="AE188" s="3"/>
      <c r="AF188" s="3"/>
      <c r="AG188" s="3"/>
      <c r="AH188" s="5"/>
      <c r="AI188" s="3"/>
      <c r="AJ188" s="3"/>
      <c r="AK188" s="3"/>
      <c r="AL188" s="3"/>
      <c r="AM188" s="5"/>
      <c r="AN188" s="3"/>
      <c r="AO188" s="3"/>
      <c r="AP188" s="3"/>
      <c r="AQ188" s="3"/>
    </row>
    <row r="189" spans="1:43" ht="35.450000000000003" customHeight="1">
      <c r="A189" s="146" t="s">
        <v>269</v>
      </c>
      <c r="B189" s="156"/>
      <c r="C189" s="210"/>
      <c r="D189" s="64"/>
      <c r="E189" s="64"/>
      <c r="F189" s="139"/>
      <c r="G189" s="64"/>
      <c r="H189" s="64"/>
      <c r="I189" s="64"/>
      <c r="J189" s="64"/>
      <c r="K189" s="210"/>
      <c r="L189" s="3"/>
      <c r="M189" s="87" t="s">
        <v>289</v>
      </c>
      <c r="N189" s="3">
        <f t="shared" ref="N189:N206" si="43">P189+R189+T189+V189</f>
        <v>0</v>
      </c>
      <c r="O189" s="3">
        <f t="shared" si="42"/>
        <v>0</v>
      </c>
      <c r="P189" s="3"/>
      <c r="Q189" s="3"/>
      <c r="R189" s="3"/>
      <c r="S189" s="3"/>
      <c r="T189" s="3"/>
      <c r="U189" s="3"/>
      <c r="V189" s="3"/>
      <c r="W189" s="3"/>
      <c r="X189" s="3">
        <f t="shared" ref="X189:X206" si="44">Y189+Z189+AA189+AB189</f>
        <v>0</v>
      </c>
      <c r="Y189" s="3"/>
      <c r="Z189" s="3"/>
      <c r="AA189" s="3"/>
      <c r="AB189" s="3"/>
      <c r="AC189" s="3">
        <f t="shared" ref="AC189:AC206" si="45">AD189+AE189+AF189+AG189</f>
        <v>0</v>
      </c>
      <c r="AD189" s="3"/>
      <c r="AE189" s="3"/>
      <c r="AF189" s="3"/>
      <c r="AG189" s="3"/>
      <c r="AH189" s="5">
        <f t="shared" ref="AH189:AH206" si="46">AI189+AJ189+AK189+AL189</f>
        <v>0</v>
      </c>
      <c r="AI189" s="3"/>
      <c r="AJ189" s="3"/>
      <c r="AK189" s="3"/>
      <c r="AL189" s="3"/>
      <c r="AM189" s="5">
        <f t="shared" ref="AM189:AM201" si="47">AN189+AO189+AP189+AQ189</f>
        <v>0</v>
      </c>
      <c r="AN189" s="3"/>
      <c r="AO189" s="3"/>
      <c r="AP189" s="3"/>
      <c r="AQ189" s="3"/>
    </row>
    <row r="190" spans="1:43" ht="35.450000000000003" customHeight="1" thickBot="1">
      <c r="A190" s="72" t="s">
        <v>269</v>
      </c>
      <c r="B190" s="80"/>
      <c r="C190" s="64"/>
      <c r="D190" s="64"/>
      <c r="E190" s="64"/>
      <c r="F190" s="208"/>
      <c r="G190" s="64"/>
      <c r="H190" s="64"/>
      <c r="I190" s="211"/>
      <c r="J190" s="64"/>
      <c r="K190" s="208"/>
      <c r="L190" s="3"/>
      <c r="M190" s="87" t="s">
        <v>291</v>
      </c>
      <c r="N190" s="3">
        <f t="shared" si="43"/>
        <v>8425.9</v>
      </c>
      <c r="O190" s="3">
        <f t="shared" si="42"/>
        <v>8425.9</v>
      </c>
      <c r="P190" s="3"/>
      <c r="Q190" s="3"/>
      <c r="R190" s="3"/>
      <c r="S190" s="3"/>
      <c r="T190" s="3"/>
      <c r="U190" s="3"/>
      <c r="V190" s="3">
        <f>8163.9+275.8-60+350+50+20-152.8+167-84-100-204</f>
        <v>8425.9</v>
      </c>
      <c r="W190" s="3">
        <v>8425.9</v>
      </c>
      <c r="X190" s="3">
        <f t="shared" si="44"/>
        <v>10155.199999999999</v>
      </c>
      <c r="Y190" s="3"/>
      <c r="Z190" s="3"/>
      <c r="AA190" s="3"/>
      <c r="AB190" s="3">
        <f>9058.6-121+136.9+273.3+80-193.4+179.8+70+171.3+95+38.5+80.6+205.6+50+30</f>
        <v>10155.199999999999</v>
      </c>
      <c r="AC190" s="3">
        <f t="shared" si="45"/>
        <v>9284.2999999999993</v>
      </c>
      <c r="AD190" s="3"/>
      <c r="AE190" s="3"/>
      <c r="AF190" s="3"/>
      <c r="AG190" s="3">
        <v>9284.2999999999993</v>
      </c>
      <c r="AH190" s="3">
        <f t="shared" si="46"/>
        <v>9288.2999999999993</v>
      </c>
      <c r="AI190" s="3"/>
      <c r="AJ190" s="3"/>
      <c r="AK190" s="3"/>
      <c r="AL190" s="3">
        <v>9288.2999999999993</v>
      </c>
      <c r="AM190" s="3">
        <f t="shared" si="47"/>
        <v>9288.2999999999993</v>
      </c>
      <c r="AN190" s="3"/>
      <c r="AO190" s="3"/>
      <c r="AP190" s="3"/>
      <c r="AQ190" s="3">
        <v>9288.2999999999993</v>
      </c>
    </row>
    <row r="191" spans="1:43" ht="35.450000000000003" customHeight="1" thickBot="1">
      <c r="A191" s="72" t="s">
        <v>269</v>
      </c>
      <c r="B191" s="80"/>
      <c r="C191" s="64"/>
      <c r="D191" s="64"/>
      <c r="E191" s="64"/>
      <c r="F191" s="208"/>
      <c r="G191" s="64"/>
      <c r="H191" s="64"/>
      <c r="I191" s="212"/>
      <c r="J191" s="64"/>
      <c r="K191" s="208"/>
      <c r="L191" s="3"/>
      <c r="M191" s="87" t="s">
        <v>292</v>
      </c>
      <c r="N191" s="3">
        <f t="shared" si="43"/>
        <v>11951.7</v>
      </c>
      <c r="O191" s="3">
        <f t="shared" si="42"/>
        <v>11939</v>
      </c>
      <c r="P191" s="3"/>
      <c r="Q191" s="3"/>
      <c r="R191" s="3"/>
      <c r="S191" s="3"/>
      <c r="T191" s="3"/>
      <c r="U191" s="3"/>
      <c r="V191" s="3">
        <f>688+743.9+792.1+60+763.7+23.5+3633.1+274.7+2105+100+93.3+81.4+126+21.4+38.7+199+68.8+84+0.2+359.2+1695.7</f>
        <v>11951.7</v>
      </c>
      <c r="W191" s="3">
        <v>11939</v>
      </c>
      <c r="X191" s="3">
        <f t="shared" si="44"/>
        <v>3544.8</v>
      </c>
      <c r="Y191" s="3"/>
      <c r="Z191" s="3"/>
      <c r="AA191" s="3"/>
      <c r="AB191" s="3">
        <f>121+203.5+232.9+243.5+193.2-179.7+188.2+275.8+51+157.7+377.4+1105.5+114+460.8</f>
        <v>3544.8</v>
      </c>
      <c r="AC191" s="3">
        <f t="shared" si="45"/>
        <v>0</v>
      </c>
      <c r="AD191" s="3"/>
      <c r="AE191" s="3"/>
      <c r="AF191" s="3"/>
      <c r="AG191" s="3">
        <v>0</v>
      </c>
      <c r="AH191" s="3">
        <f t="shared" si="46"/>
        <v>698.8</v>
      </c>
      <c r="AI191" s="3"/>
      <c r="AJ191" s="3"/>
      <c r="AK191" s="3"/>
      <c r="AL191" s="3">
        <v>698.8</v>
      </c>
      <c r="AM191" s="3">
        <f t="shared" si="47"/>
        <v>698.8</v>
      </c>
      <c r="AN191" s="3"/>
      <c r="AO191" s="3"/>
      <c r="AP191" s="3"/>
      <c r="AQ191" s="3">
        <v>698.8</v>
      </c>
    </row>
    <row r="192" spans="1:43" ht="35.450000000000003" customHeight="1" thickBot="1">
      <c r="A192" s="72" t="s">
        <v>269</v>
      </c>
      <c r="B192" s="80"/>
      <c r="C192" s="64"/>
      <c r="D192" s="64"/>
      <c r="E192" s="64"/>
      <c r="F192" s="208"/>
      <c r="G192" s="64"/>
      <c r="H192" s="64"/>
      <c r="I192" s="212"/>
      <c r="J192" s="64"/>
      <c r="K192" s="208"/>
      <c r="L192" s="3"/>
      <c r="M192" s="87" t="s">
        <v>293</v>
      </c>
      <c r="N192" s="3">
        <f t="shared" si="43"/>
        <v>1715.5</v>
      </c>
      <c r="O192" s="3">
        <f t="shared" si="42"/>
        <v>1715.5</v>
      </c>
      <c r="P192" s="3"/>
      <c r="Q192" s="3"/>
      <c r="R192" s="3"/>
      <c r="S192" s="3"/>
      <c r="T192" s="3"/>
      <c r="U192" s="3"/>
      <c r="V192" s="3">
        <f>1748.2+50-82.7</f>
        <v>1715.5</v>
      </c>
      <c r="W192" s="3">
        <v>1715.5</v>
      </c>
      <c r="X192" s="3">
        <f t="shared" si="44"/>
        <v>2003.4</v>
      </c>
      <c r="Y192" s="3"/>
      <c r="Z192" s="3"/>
      <c r="AA192" s="3"/>
      <c r="AB192" s="3">
        <f>1767.4+320-84</f>
        <v>2003.4</v>
      </c>
      <c r="AC192" s="3">
        <f t="shared" si="45"/>
        <v>1767.4</v>
      </c>
      <c r="AD192" s="3"/>
      <c r="AE192" s="3"/>
      <c r="AF192" s="3"/>
      <c r="AG192" s="3">
        <v>1767.4</v>
      </c>
      <c r="AH192" s="3">
        <f t="shared" si="46"/>
        <v>1767.4</v>
      </c>
      <c r="AI192" s="3"/>
      <c r="AJ192" s="3"/>
      <c r="AK192" s="3"/>
      <c r="AL192" s="3">
        <v>1767.4</v>
      </c>
      <c r="AM192" s="3">
        <f t="shared" si="47"/>
        <v>1767.4</v>
      </c>
      <c r="AN192" s="3"/>
      <c r="AO192" s="3"/>
      <c r="AP192" s="3"/>
      <c r="AQ192" s="3">
        <v>1767.4</v>
      </c>
    </row>
    <row r="193" spans="1:43" ht="35.450000000000003" customHeight="1" thickBot="1">
      <c r="A193" s="72" t="s">
        <v>269</v>
      </c>
      <c r="B193" s="80"/>
      <c r="C193" s="64"/>
      <c r="D193" s="64"/>
      <c r="E193" s="64"/>
      <c r="F193" s="208"/>
      <c r="G193" s="64"/>
      <c r="H193" s="64"/>
      <c r="I193" s="213"/>
      <c r="J193" s="64"/>
      <c r="K193" s="208"/>
      <c r="L193" s="3"/>
      <c r="M193" s="87" t="s">
        <v>294</v>
      </c>
      <c r="N193" s="3">
        <f t="shared" si="43"/>
        <v>495.59999999999997</v>
      </c>
      <c r="O193" s="3">
        <f t="shared" si="42"/>
        <v>494.6</v>
      </c>
      <c r="P193" s="3"/>
      <c r="Q193" s="3"/>
      <c r="R193" s="3"/>
      <c r="S193" s="3"/>
      <c r="T193" s="3"/>
      <c r="U193" s="3"/>
      <c r="V193" s="3">
        <f>82.7+412.9</f>
        <v>495.59999999999997</v>
      </c>
      <c r="W193" s="3">
        <v>494.6</v>
      </c>
      <c r="X193" s="3">
        <f t="shared" si="44"/>
        <v>584</v>
      </c>
      <c r="Y193" s="3"/>
      <c r="Z193" s="3"/>
      <c r="AA193" s="3"/>
      <c r="AB193" s="3">
        <f>500+84</f>
        <v>584</v>
      </c>
      <c r="AC193" s="3">
        <f t="shared" si="45"/>
        <v>0</v>
      </c>
      <c r="AD193" s="3"/>
      <c r="AE193" s="3"/>
      <c r="AF193" s="3"/>
      <c r="AG193" s="3"/>
      <c r="AH193" s="3">
        <f t="shared" si="46"/>
        <v>0</v>
      </c>
      <c r="AI193" s="3"/>
      <c r="AJ193" s="3"/>
      <c r="AK193" s="3"/>
      <c r="AL193" s="3"/>
      <c r="AM193" s="3">
        <f t="shared" si="47"/>
        <v>0</v>
      </c>
      <c r="AN193" s="3"/>
      <c r="AO193" s="3"/>
      <c r="AP193" s="3"/>
      <c r="AQ193" s="3"/>
    </row>
    <row r="194" spans="1:43" ht="35.450000000000003" customHeight="1" thickBot="1">
      <c r="A194" s="72" t="s">
        <v>269</v>
      </c>
      <c r="B194" s="80"/>
      <c r="C194" s="135"/>
      <c r="D194" s="64"/>
      <c r="E194" s="64"/>
      <c r="F194" s="208"/>
      <c r="G194" s="64"/>
      <c r="H194" s="64"/>
      <c r="I194" s="214"/>
      <c r="J194" s="64"/>
      <c r="K194" s="208"/>
      <c r="L194" s="3"/>
      <c r="M194" s="87" t="s">
        <v>295</v>
      </c>
      <c r="N194" s="3">
        <f t="shared" si="43"/>
        <v>0</v>
      </c>
      <c r="O194" s="3">
        <f t="shared" si="42"/>
        <v>0</v>
      </c>
      <c r="P194" s="3"/>
      <c r="Q194" s="3"/>
      <c r="R194" s="3"/>
      <c r="S194" s="3"/>
      <c r="T194" s="3"/>
      <c r="U194" s="3"/>
      <c r="V194" s="3"/>
      <c r="W194" s="3"/>
      <c r="X194" s="3">
        <f t="shared" si="44"/>
        <v>0</v>
      </c>
      <c r="Y194" s="3"/>
      <c r="Z194" s="3"/>
      <c r="AA194" s="3"/>
      <c r="AB194" s="3"/>
      <c r="AC194" s="3">
        <f t="shared" si="45"/>
        <v>0</v>
      </c>
      <c r="AD194" s="3"/>
      <c r="AE194" s="3"/>
      <c r="AF194" s="3"/>
      <c r="AG194" s="3"/>
      <c r="AH194" s="3">
        <f t="shared" si="46"/>
        <v>0</v>
      </c>
      <c r="AI194" s="3"/>
      <c r="AJ194" s="3"/>
      <c r="AK194" s="3"/>
      <c r="AL194" s="3"/>
      <c r="AM194" s="3">
        <f t="shared" si="47"/>
        <v>0</v>
      </c>
      <c r="AN194" s="3"/>
      <c r="AO194" s="3"/>
      <c r="AP194" s="3"/>
      <c r="AQ194" s="3"/>
    </row>
    <row r="195" spans="1:43" ht="35.450000000000003" customHeight="1" thickBot="1">
      <c r="A195" s="72" t="s">
        <v>269</v>
      </c>
      <c r="B195" s="80"/>
      <c r="C195" s="106"/>
      <c r="D195" s="64"/>
      <c r="E195" s="64"/>
      <c r="F195" s="208"/>
      <c r="G195" s="64"/>
      <c r="H195" s="64"/>
      <c r="I195" s="211"/>
      <c r="J195" s="64"/>
      <c r="K195" s="208"/>
      <c r="L195" s="3"/>
      <c r="M195" s="87" t="s">
        <v>296</v>
      </c>
      <c r="N195" s="3">
        <f t="shared" si="43"/>
        <v>17530.399999999998</v>
      </c>
      <c r="O195" s="3">
        <f t="shared" si="42"/>
        <v>16462.5</v>
      </c>
      <c r="P195" s="3"/>
      <c r="Q195" s="3"/>
      <c r="R195" s="3"/>
      <c r="S195" s="3"/>
      <c r="T195" s="3"/>
      <c r="U195" s="3"/>
      <c r="V195" s="3">
        <f>17252+752.8-474.4</f>
        <v>17530.399999999998</v>
      </c>
      <c r="W195" s="3">
        <v>16462.5</v>
      </c>
      <c r="X195" s="3">
        <f t="shared" si="44"/>
        <v>18413.099999999999</v>
      </c>
      <c r="Y195" s="3"/>
      <c r="Z195" s="3"/>
      <c r="AA195" s="3"/>
      <c r="AB195" s="3">
        <f>17482.3+71+299.8+560</f>
        <v>18413.099999999999</v>
      </c>
      <c r="AC195" s="3">
        <f t="shared" si="45"/>
        <v>18816.7</v>
      </c>
      <c r="AD195" s="3"/>
      <c r="AE195" s="3"/>
      <c r="AF195" s="3"/>
      <c r="AG195" s="3">
        <v>18816.7</v>
      </c>
      <c r="AH195" s="3">
        <f t="shared" si="46"/>
        <v>18816.7</v>
      </c>
      <c r="AI195" s="3"/>
      <c r="AJ195" s="3"/>
      <c r="AK195" s="3"/>
      <c r="AL195" s="3">
        <v>18816.7</v>
      </c>
      <c r="AM195" s="3">
        <f t="shared" si="47"/>
        <v>18816.7</v>
      </c>
      <c r="AN195" s="3"/>
      <c r="AO195" s="3"/>
      <c r="AP195" s="3"/>
      <c r="AQ195" s="3">
        <v>18816.7</v>
      </c>
    </row>
    <row r="196" spans="1:43" ht="35.450000000000003" customHeight="1" thickBot="1">
      <c r="A196" s="72" t="s">
        <v>269</v>
      </c>
      <c r="B196" s="80"/>
      <c r="C196" s="111"/>
      <c r="D196" s="64"/>
      <c r="E196" s="64"/>
      <c r="F196" s="208"/>
      <c r="G196" s="64"/>
      <c r="H196" s="64"/>
      <c r="I196" s="215"/>
      <c r="J196" s="64"/>
      <c r="K196" s="208"/>
      <c r="L196" s="3"/>
      <c r="M196" s="87" t="s">
        <v>297</v>
      </c>
      <c r="N196" s="3">
        <f t="shared" si="43"/>
        <v>2851</v>
      </c>
      <c r="O196" s="3">
        <f t="shared" si="42"/>
        <v>2445.1999999999998</v>
      </c>
      <c r="P196" s="3"/>
      <c r="Q196" s="3"/>
      <c r="R196" s="3"/>
      <c r="S196" s="3"/>
      <c r="T196" s="3"/>
      <c r="U196" s="3"/>
      <c r="V196" s="3">
        <f>3182.2+294.1-625.3</f>
        <v>2851</v>
      </c>
      <c r="W196" s="3">
        <v>2445.1999999999998</v>
      </c>
      <c r="X196" s="3">
        <f t="shared" si="44"/>
        <v>3208.3</v>
      </c>
      <c r="Y196" s="3"/>
      <c r="Z196" s="3"/>
      <c r="AA196" s="3"/>
      <c r="AB196" s="3">
        <f>3599.3-71-320</f>
        <v>3208.3</v>
      </c>
      <c r="AC196" s="3">
        <f t="shared" si="45"/>
        <v>3599.3</v>
      </c>
      <c r="AD196" s="3"/>
      <c r="AE196" s="3"/>
      <c r="AF196" s="3"/>
      <c r="AG196" s="3">
        <v>3599.3</v>
      </c>
      <c r="AH196" s="3">
        <f t="shared" si="46"/>
        <v>3599.3</v>
      </c>
      <c r="AI196" s="3"/>
      <c r="AJ196" s="3"/>
      <c r="AK196" s="3"/>
      <c r="AL196" s="3">
        <v>3599.3</v>
      </c>
      <c r="AM196" s="3">
        <f t="shared" si="47"/>
        <v>3599.3</v>
      </c>
      <c r="AN196" s="3"/>
      <c r="AO196" s="3"/>
      <c r="AP196" s="3"/>
      <c r="AQ196" s="3">
        <v>3599.3</v>
      </c>
    </row>
    <row r="197" spans="1:43" ht="35.450000000000003" customHeight="1" thickBot="1">
      <c r="A197" s="72" t="s">
        <v>269</v>
      </c>
      <c r="B197" s="80"/>
      <c r="C197" s="111"/>
      <c r="D197" s="64"/>
      <c r="E197" s="64"/>
      <c r="F197" s="208"/>
      <c r="G197" s="64"/>
      <c r="H197" s="64"/>
      <c r="I197" s="215"/>
      <c r="J197" s="64"/>
      <c r="K197" s="208"/>
      <c r="L197" s="3"/>
      <c r="M197" s="87" t="s">
        <v>298</v>
      </c>
      <c r="N197" s="3">
        <f t="shared" si="43"/>
        <v>17715.3</v>
      </c>
      <c r="O197" s="3">
        <f t="shared" si="42"/>
        <v>16936.099999999999</v>
      </c>
      <c r="P197" s="3"/>
      <c r="Q197" s="3"/>
      <c r="R197" s="3"/>
      <c r="S197" s="3"/>
      <c r="T197" s="3"/>
      <c r="U197" s="3"/>
      <c r="V197" s="3">
        <f>13625.4+2519.2+120+103+102.4+2053.3-180.1+180.1-808</f>
        <v>17715.3</v>
      </c>
      <c r="W197" s="3">
        <v>16936.099999999999</v>
      </c>
      <c r="X197" s="3">
        <f t="shared" si="44"/>
        <v>18355.600000000002</v>
      </c>
      <c r="Y197" s="3"/>
      <c r="Z197" s="3"/>
      <c r="AA197" s="3"/>
      <c r="AB197" s="3">
        <f>17596.3+1623.5-70+10.4-80.6-50-674</f>
        <v>18355.600000000002</v>
      </c>
      <c r="AC197" s="3">
        <f t="shared" si="45"/>
        <v>19446.099999999999</v>
      </c>
      <c r="AD197" s="3"/>
      <c r="AE197" s="3"/>
      <c r="AF197" s="3"/>
      <c r="AG197" s="3">
        <v>19446.099999999999</v>
      </c>
      <c r="AH197" s="3">
        <f t="shared" si="46"/>
        <v>19446.099999999999</v>
      </c>
      <c r="AI197" s="3"/>
      <c r="AJ197" s="3"/>
      <c r="AK197" s="3"/>
      <c r="AL197" s="3">
        <v>19446.099999999999</v>
      </c>
      <c r="AM197" s="3">
        <f t="shared" si="47"/>
        <v>19446.099999999999</v>
      </c>
      <c r="AN197" s="3"/>
      <c r="AO197" s="3"/>
      <c r="AP197" s="3"/>
      <c r="AQ197" s="3">
        <v>19446.099999999999</v>
      </c>
    </row>
    <row r="198" spans="1:43" ht="35.450000000000003" customHeight="1" thickBot="1">
      <c r="A198" s="72" t="s">
        <v>269</v>
      </c>
      <c r="B198" s="80"/>
      <c r="C198" s="111"/>
      <c r="D198" s="64"/>
      <c r="E198" s="64"/>
      <c r="F198" s="208"/>
      <c r="G198" s="64"/>
      <c r="H198" s="64"/>
      <c r="I198" s="215"/>
      <c r="J198" s="64"/>
      <c r="K198" s="208"/>
      <c r="L198" s="3"/>
      <c r="M198" s="87" t="s">
        <v>299</v>
      </c>
      <c r="N198" s="3">
        <f t="shared" si="43"/>
        <v>1554.1</v>
      </c>
      <c r="O198" s="3">
        <f t="shared" si="42"/>
        <v>1554.1</v>
      </c>
      <c r="P198" s="3"/>
      <c r="Q198" s="3"/>
      <c r="R198" s="3"/>
      <c r="S198" s="3"/>
      <c r="T198" s="3"/>
      <c r="U198" s="3"/>
      <c r="V198" s="3">
        <f>300+28+235.8+531.4+65.8+121.4+293.4+116.8+180.2-28.3-290.4</f>
        <v>1554.1</v>
      </c>
      <c r="W198" s="3">
        <v>1554.1</v>
      </c>
      <c r="X198" s="3">
        <f t="shared" si="44"/>
        <v>335.3</v>
      </c>
      <c r="Y198" s="3"/>
      <c r="Z198" s="3"/>
      <c r="AA198" s="3"/>
      <c r="AB198" s="3">
        <v>335.3</v>
      </c>
      <c r="AC198" s="3">
        <f t="shared" si="45"/>
        <v>0</v>
      </c>
      <c r="AD198" s="3"/>
      <c r="AE198" s="3"/>
      <c r="AF198" s="3"/>
      <c r="AG198" s="3">
        <v>0</v>
      </c>
      <c r="AH198" s="3">
        <f t="shared" si="46"/>
        <v>0</v>
      </c>
      <c r="AI198" s="3"/>
      <c r="AJ198" s="3"/>
      <c r="AK198" s="3"/>
      <c r="AL198" s="3">
        <v>0</v>
      </c>
      <c r="AM198" s="3">
        <f t="shared" si="47"/>
        <v>0</v>
      </c>
      <c r="AN198" s="3"/>
      <c r="AO198" s="3"/>
      <c r="AP198" s="3"/>
      <c r="AQ198" s="3">
        <v>0</v>
      </c>
    </row>
    <row r="199" spans="1:43" ht="35.450000000000003" customHeight="1" thickBot="1">
      <c r="A199" s="72" t="s">
        <v>269</v>
      </c>
      <c r="B199" s="80"/>
      <c r="C199" s="111"/>
      <c r="D199" s="64"/>
      <c r="E199" s="64"/>
      <c r="F199" s="208"/>
      <c r="G199" s="64"/>
      <c r="H199" s="64"/>
      <c r="I199" s="215"/>
      <c r="J199" s="64"/>
      <c r="K199" s="208"/>
      <c r="L199" s="3"/>
      <c r="M199" s="87" t="s">
        <v>300</v>
      </c>
      <c r="N199" s="3">
        <f t="shared" si="43"/>
        <v>2383.2999999999997</v>
      </c>
      <c r="O199" s="3">
        <f t="shared" si="42"/>
        <v>2303</v>
      </c>
      <c r="P199" s="3"/>
      <c r="Q199" s="3"/>
      <c r="R199" s="3"/>
      <c r="S199" s="3"/>
      <c r="T199" s="3"/>
      <c r="U199" s="3"/>
      <c r="V199" s="3">
        <f>1925.5+161.7+83.7+212.3+0.1</f>
        <v>2383.2999999999997</v>
      </c>
      <c r="W199" s="3">
        <v>2303</v>
      </c>
      <c r="X199" s="3">
        <f t="shared" si="44"/>
        <v>2444.8000000000002</v>
      </c>
      <c r="Y199" s="3"/>
      <c r="Z199" s="3"/>
      <c r="AA199" s="3"/>
      <c r="AB199" s="3">
        <f>2003.5+381.8+59.5</f>
        <v>2444.8000000000002</v>
      </c>
      <c r="AC199" s="3">
        <f t="shared" si="45"/>
        <v>2453.3000000000002</v>
      </c>
      <c r="AD199" s="3"/>
      <c r="AE199" s="3"/>
      <c r="AF199" s="3"/>
      <c r="AG199" s="3">
        <v>2453.3000000000002</v>
      </c>
      <c r="AH199" s="3">
        <f t="shared" si="46"/>
        <v>2453.3000000000002</v>
      </c>
      <c r="AI199" s="3"/>
      <c r="AJ199" s="3"/>
      <c r="AK199" s="3"/>
      <c r="AL199" s="3">
        <v>2453.3000000000002</v>
      </c>
      <c r="AM199" s="3">
        <f t="shared" si="47"/>
        <v>2453.3000000000002</v>
      </c>
      <c r="AN199" s="3"/>
      <c r="AO199" s="3"/>
      <c r="AP199" s="3"/>
      <c r="AQ199" s="3">
        <v>2453.3000000000002</v>
      </c>
    </row>
    <row r="200" spans="1:43" ht="35.450000000000003" customHeight="1" thickBot="1">
      <c r="A200" s="72" t="s">
        <v>269</v>
      </c>
      <c r="B200" s="80"/>
      <c r="C200" s="111"/>
      <c r="D200" s="64"/>
      <c r="E200" s="64"/>
      <c r="F200" s="208"/>
      <c r="G200" s="64"/>
      <c r="H200" s="64"/>
      <c r="I200" s="215"/>
      <c r="J200" s="64"/>
      <c r="K200" s="208"/>
      <c r="L200" s="3"/>
      <c r="M200" s="87" t="s">
        <v>301</v>
      </c>
      <c r="N200" s="3">
        <f t="shared" si="43"/>
        <v>67845.400000000009</v>
      </c>
      <c r="O200" s="3">
        <f t="shared" si="42"/>
        <v>67845.399999999994</v>
      </c>
      <c r="P200" s="3"/>
      <c r="Q200" s="3"/>
      <c r="R200" s="3">
        <v>10038.200000000001</v>
      </c>
      <c r="S200" s="3">
        <v>10038.200000000001</v>
      </c>
      <c r="T200" s="3"/>
      <c r="U200" s="3"/>
      <c r="V200" s="3">
        <f>53467.9+9210.4+2118.4+2967.7+81-10038.2</f>
        <v>57807.200000000012</v>
      </c>
      <c r="W200" s="3">
        <f>67845.4-10038.2</f>
        <v>57807.199999999997</v>
      </c>
      <c r="X200" s="3">
        <f t="shared" si="44"/>
        <v>80541.8</v>
      </c>
      <c r="Y200" s="3"/>
      <c r="Z200" s="3"/>
      <c r="AA200" s="3"/>
      <c r="AB200" s="3">
        <f>65636.6+7721.5+3800-0.1+3383.8</f>
        <v>80541.8</v>
      </c>
      <c r="AC200" s="3">
        <f t="shared" si="45"/>
        <v>70854.399999999994</v>
      </c>
      <c r="AD200" s="3"/>
      <c r="AE200" s="3"/>
      <c r="AF200" s="3"/>
      <c r="AG200" s="3">
        <v>70854.399999999994</v>
      </c>
      <c r="AH200" s="3">
        <f t="shared" si="46"/>
        <v>70854.399999999994</v>
      </c>
      <c r="AI200" s="3"/>
      <c r="AJ200" s="3"/>
      <c r="AK200" s="3"/>
      <c r="AL200" s="3">
        <v>70854.399999999994</v>
      </c>
      <c r="AM200" s="3">
        <f t="shared" si="47"/>
        <v>70854.399999999994</v>
      </c>
      <c r="AN200" s="3"/>
      <c r="AO200" s="3"/>
      <c r="AP200" s="3"/>
      <c r="AQ200" s="3">
        <v>70854.399999999994</v>
      </c>
    </row>
    <row r="201" spans="1:43" ht="35.450000000000003" customHeight="1" thickBot="1">
      <c r="A201" s="72" t="s">
        <v>269</v>
      </c>
      <c r="B201" s="80"/>
      <c r="C201" s="117"/>
      <c r="D201" s="64"/>
      <c r="E201" s="64"/>
      <c r="F201" s="208"/>
      <c r="G201" s="64"/>
      <c r="H201" s="64"/>
      <c r="I201" s="216"/>
      <c r="J201" s="64"/>
      <c r="K201" s="208"/>
      <c r="L201" s="3"/>
      <c r="M201" s="87" t="s">
        <v>302</v>
      </c>
      <c r="N201" s="3">
        <f t="shared" si="43"/>
        <v>12801.9</v>
      </c>
      <c r="O201" s="3">
        <f t="shared" si="42"/>
        <v>12801.9</v>
      </c>
      <c r="P201" s="3"/>
      <c r="Q201" s="3"/>
      <c r="R201" s="3">
        <v>1267.4000000000001</v>
      </c>
      <c r="S201" s="3">
        <v>1267.4000000000001</v>
      </c>
      <c r="T201" s="3"/>
      <c r="U201" s="3"/>
      <c r="V201" s="3">
        <f>10264.4+2085.6+0.1+451.8-1267.4</f>
        <v>11534.5</v>
      </c>
      <c r="W201" s="3">
        <f>12801.9-1267.4</f>
        <v>11534.5</v>
      </c>
      <c r="X201" s="3">
        <f t="shared" si="44"/>
        <v>15181.4</v>
      </c>
      <c r="Y201" s="3"/>
      <c r="Z201" s="3"/>
      <c r="AA201" s="3"/>
      <c r="AB201" s="3">
        <f>14431.5+749.9</f>
        <v>15181.4</v>
      </c>
      <c r="AC201" s="3">
        <f t="shared" si="45"/>
        <v>14431.5</v>
      </c>
      <c r="AD201" s="3"/>
      <c r="AE201" s="3"/>
      <c r="AF201" s="3"/>
      <c r="AG201" s="3">
        <v>14431.5</v>
      </c>
      <c r="AH201" s="3">
        <f t="shared" si="46"/>
        <v>14431.5</v>
      </c>
      <c r="AI201" s="3"/>
      <c r="AJ201" s="3"/>
      <c r="AK201" s="3"/>
      <c r="AL201" s="3">
        <v>14431.5</v>
      </c>
      <c r="AM201" s="3">
        <f t="shared" si="47"/>
        <v>14431.5</v>
      </c>
      <c r="AN201" s="3"/>
      <c r="AO201" s="3"/>
      <c r="AP201" s="3"/>
      <c r="AQ201" s="3">
        <v>14431.5</v>
      </c>
    </row>
    <row r="202" spans="1:43" ht="35.450000000000003" customHeight="1" thickBot="1">
      <c r="A202" s="72" t="s">
        <v>269</v>
      </c>
      <c r="B202" s="80"/>
      <c r="C202" s="139"/>
      <c r="D202" s="64"/>
      <c r="E202" s="64"/>
      <c r="F202" s="208"/>
      <c r="G202" s="64"/>
      <c r="H202" s="64"/>
      <c r="I202" s="119"/>
      <c r="J202" s="64"/>
      <c r="K202" s="208"/>
      <c r="L202" s="3"/>
      <c r="M202" s="87" t="s">
        <v>303</v>
      </c>
      <c r="N202" s="3">
        <f t="shared" si="43"/>
        <v>0</v>
      </c>
      <c r="O202" s="3">
        <f t="shared" si="42"/>
        <v>0</v>
      </c>
      <c r="P202" s="3"/>
      <c r="Q202" s="3"/>
      <c r="R202" s="3"/>
      <c r="S202" s="3"/>
      <c r="T202" s="3"/>
      <c r="U202" s="3"/>
      <c r="V202" s="3">
        <f>2271.8-289-1443.8-22-0.3-516.7</f>
        <v>0</v>
      </c>
      <c r="W202" s="3"/>
      <c r="X202" s="3">
        <f t="shared" si="44"/>
        <v>701.30000000000007</v>
      </c>
      <c r="Y202" s="3"/>
      <c r="Z202" s="3"/>
      <c r="AA202" s="3"/>
      <c r="AB202" s="3">
        <f>500+4191.8-3799.9-189.5-0.1-1</f>
        <v>701.30000000000007</v>
      </c>
      <c r="AC202" s="3">
        <f t="shared" si="45"/>
        <v>0</v>
      </c>
      <c r="AD202" s="3"/>
      <c r="AE202" s="3"/>
      <c r="AF202" s="3"/>
      <c r="AG202" s="3">
        <v>0</v>
      </c>
      <c r="AH202" s="3">
        <f t="shared" si="46"/>
        <v>0</v>
      </c>
      <c r="AI202" s="3"/>
      <c r="AJ202" s="3"/>
      <c r="AK202" s="3"/>
      <c r="AL202" s="3">
        <v>0</v>
      </c>
      <c r="AM202" s="3">
        <f>AN202+AO202+AP202+AQ202</f>
        <v>0</v>
      </c>
      <c r="AN202" s="3"/>
      <c r="AO202" s="3"/>
      <c r="AP202" s="3"/>
      <c r="AQ202" s="3">
        <v>0</v>
      </c>
    </row>
    <row r="203" spans="1:43" ht="35.450000000000003" customHeight="1" thickBot="1">
      <c r="A203" s="72" t="s">
        <v>269</v>
      </c>
      <c r="B203" s="80"/>
      <c r="C203" s="139"/>
      <c r="D203" s="64"/>
      <c r="E203" s="64"/>
      <c r="F203" s="208"/>
      <c r="G203" s="64"/>
      <c r="H203" s="64"/>
      <c r="I203" s="119"/>
      <c r="J203" s="64"/>
      <c r="K203" s="208"/>
      <c r="L203" s="3"/>
      <c r="M203" s="87"/>
      <c r="N203" s="3"/>
      <c r="O203" s="3">
        <f t="shared" si="42"/>
        <v>0</v>
      </c>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row>
    <row r="204" spans="1:43" ht="35.450000000000003" customHeight="1" thickBot="1">
      <c r="A204" s="72" t="s">
        <v>269</v>
      </c>
      <c r="B204" s="80"/>
      <c r="C204" s="139"/>
      <c r="D204" s="64"/>
      <c r="E204" s="64"/>
      <c r="F204" s="208"/>
      <c r="G204" s="64"/>
      <c r="H204" s="64"/>
      <c r="I204" s="119"/>
      <c r="J204" s="64"/>
      <c r="K204" s="208"/>
      <c r="L204" s="3"/>
      <c r="M204" s="87"/>
      <c r="N204" s="3"/>
      <c r="O204" s="3">
        <f t="shared" si="42"/>
        <v>0</v>
      </c>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row>
    <row r="205" spans="1:43" ht="35.450000000000003" customHeight="1" thickBot="1">
      <c r="A205" s="72" t="s">
        <v>269</v>
      </c>
      <c r="B205" s="80"/>
      <c r="C205" s="64"/>
      <c r="D205" s="64"/>
      <c r="E205" s="64"/>
      <c r="F205" s="64"/>
      <c r="G205" s="64"/>
      <c r="H205" s="4"/>
      <c r="I205" s="207"/>
      <c r="J205" s="64"/>
      <c r="K205" s="208"/>
      <c r="L205" s="3"/>
      <c r="M205" s="87" t="s">
        <v>304</v>
      </c>
      <c r="N205" s="3">
        <f t="shared" si="43"/>
        <v>0</v>
      </c>
      <c r="O205" s="3">
        <f t="shared" si="42"/>
        <v>0</v>
      </c>
      <c r="P205" s="3"/>
      <c r="Q205" s="3"/>
      <c r="R205" s="3"/>
      <c r="S205" s="3"/>
      <c r="T205" s="3"/>
      <c r="U205" s="3"/>
      <c r="V205" s="3"/>
      <c r="W205" s="3"/>
      <c r="X205" s="3">
        <f t="shared" si="44"/>
        <v>0</v>
      </c>
      <c r="Y205" s="3"/>
      <c r="Z205" s="3"/>
      <c r="AA205" s="3"/>
      <c r="AB205" s="3"/>
      <c r="AC205" s="3">
        <f t="shared" si="45"/>
        <v>0</v>
      </c>
      <c r="AD205" s="3"/>
      <c r="AE205" s="3"/>
      <c r="AF205" s="3"/>
      <c r="AG205" s="3"/>
      <c r="AH205" s="3">
        <f t="shared" si="46"/>
        <v>0</v>
      </c>
      <c r="AI205" s="3"/>
      <c r="AJ205" s="3"/>
      <c r="AK205" s="3"/>
      <c r="AL205" s="3"/>
      <c r="AM205" s="3">
        <f>AN205+AO205+AP205+AQ205</f>
        <v>0</v>
      </c>
      <c r="AN205" s="3"/>
      <c r="AO205" s="3"/>
      <c r="AP205" s="3"/>
      <c r="AQ205" s="3"/>
    </row>
    <row r="206" spans="1:43" ht="35.450000000000003" customHeight="1" thickBot="1">
      <c r="A206" s="72" t="s">
        <v>269</v>
      </c>
      <c r="B206" s="80"/>
      <c r="C206" s="64"/>
      <c r="D206" s="64"/>
      <c r="E206" s="64"/>
      <c r="F206" s="64"/>
      <c r="G206" s="64"/>
      <c r="H206" s="4"/>
      <c r="I206" s="207"/>
      <c r="J206" s="64"/>
      <c r="K206" s="208"/>
      <c r="L206" s="3"/>
      <c r="M206" s="87" t="s">
        <v>305</v>
      </c>
      <c r="N206" s="3">
        <f t="shared" si="43"/>
        <v>85.8</v>
      </c>
      <c r="O206" s="3">
        <f t="shared" si="42"/>
        <v>85.8</v>
      </c>
      <c r="P206" s="3"/>
      <c r="Q206" s="3"/>
      <c r="R206" s="3"/>
      <c r="S206" s="3"/>
      <c r="T206" s="3"/>
      <c r="U206" s="3"/>
      <c r="V206" s="3">
        <v>85.8</v>
      </c>
      <c r="W206" s="3">
        <v>85.8</v>
      </c>
      <c r="X206" s="3">
        <f t="shared" si="44"/>
        <v>0</v>
      </c>
      <c r="Y206" s="3"/>
      <c r="Z206" s="3"/>
      <c r="AA206" s="3"/>
      <c r="AB206" s="3">
        <v>0</v>
      </c>
      <c r="AC206" s="3">
        <f t="shared" si="45"/>
        <v>0</v>
      </c>
      <c r="AD206" s="3"/>
      <c r="AE206" s="3"/>
      <c r="AF206" s="3"/>
      <c r="AG206" s="3">
        <v>0</v>
      </c>
      <c r="AH206" s="3">
        <f t="shared" si="46"/>
        <v>0</v>
      </c>
      <c r="AI206" s="3"/>
      <c r="AJ206" s="3"/>
      <c r="AK206" s="3"/>
      <c r="AL206" s="3">
        <v>0</v>
      </c>
      <c r="AM206" s="3">
        <f>AN206+AO206+AP206+AQ206</f>
        <v>0</v>
      </c>
      <c r="AN206" s="3"/>
      <c r="AO206" s="3"/>
      <c r="AP206" s="3"/>
      <c r="AQ206" s="3">
        <v>0</v>
      </c>
    </row>
    <row r="207" spans="1:43" ht="35.450000000000003" customHeight="1" thickBot="1">
      <c r="A207" s="72" t="s">
        <v>269</v>
      </c>
      <c r="B207" s="80"/>
      <c r="C207" s="64"/>
      <c r="D207" s="64"/>
      <c r="E207" s="64"/>
      <c r="F207" s="64"/>
      <c r="G207" s="64"/>
      <c r="H207" s="4"/>
      <c r="I207" s="207"/>
      <c r="J207" s="64"/>
      <c r="K207" s="208"/>
      <c r="L207" s="3"/>
      <c r="M207" s="87" t="s">
        <v>306</v>
      </c>
      <c r="N207" s="3"/>
      <c r="O207" s="3">
        <f t="shared" si="42"/>
        <v>0</v>
      </c>
      <c r="P207" s="3"/>
      <c r="Q207" s="3"/>
      <c r="R207" s="3"/>
      <c r="S207" s="3"/>
      <c r="T207" s="3"/>
      <c r="U207" s="3"/>
      <c r="V207" s="3"/>
      <c r="W207" s="3"/>
      <c r="X207" s="3"/>
      <c r="Y207" s="3"/>
      <c r="Z207" s="3"/>
      <c r="AA207" s="3"/>
      <c r="AB207" s="3"/>
      <c r="AC207" s="3"/>
      <c r="AD207" s="3"/>
      <c r="AE207" s="3"/>
      <c r="AF207" s="3"/>
      <c r="AG207" s="3"/>
      <c r="AH207" s="5"/>
      <c r="AI207" s="3"/>
      <c r="AJ207" s="3"/>
      <c r="AK207" s="3"/>
      <c r="AL207" s="3"/>
      <c r="AM207" s="5"/>
      <c r="AN207" s="3"/>
      <c r="AO207" s="3"/>
      <c r="AP207" s="3"/>
      <c r="AQ207" s="3"/>
    </row>
    <row r="208" spans="1:43" ht="35.450000000000003" customHeight="1" thickBot="1">
      <c r="A208" s="72" t="s">
        <v>269</v>
      </c>
      <c r="B208" s="80"/>
      <c r="C208" s="64"/>
      <c r="D208" s="64"/>
      <c r="E208" s="64"/>
      <c r="F208" s="64"/>
      <c r="G208" s="64"/>
      <c r="H208" s="4"/>
      <c r="I208" s="207"/>
      <c r="J208" s="64"/>
      <c r="K208" s="208"/>
      <c r="L208" s="3"/>
      <c r="M208" s="87" t="s">
        <v>307</v>
      </c>
      <c r="N208" s="3"/>
      <c r="O208" s="3">
        <f t="shared" si="42"/>
        <v>0</v>
      </c>
      <c r="P208" s="3"/>
      <c r="Q208" s="3"/>
      <c r="R208" s="3"/>
      <c r="S208" s="3"/>
      <c r="T208" s="3"/>
      <c r="U208" s="3"/>
      <c r="V208" s="3"/>
      <c r="W208" s="3"/>
      <c r="X208" s="3"/>
      <c r="Y208" s="3"/>
      <c r="Z208" s="3"/>
      <c r="AA208" s="3"/>
      <c r="AB208" s="3"/>
      <c r="AC208" s="3"/>
      <c r="AD208" s="3"/>
      <c r="AE208" s="3"/>
      <c r="AF208" s="3"/>
      <c r="AG208" s="3"/>
      <c r="AH208" s="5"/>
      <c r="AI208" s="3"/>
      <c r="AJ208" s="3"/>
      <c r="AK208" s="3"/>
      <c r="AL208" s="3"/>
      <c r="AM208" s="5"/>
      <c r="AN208" s="3"/>
      <c r="AO208" s="3"/>
      <c r="AP208" s="3"/>
      <c r="AQ208" s="3"/>
    </row>
    <row r="209" spans="1:43" ht="35.450000000000003" customHeight="1" thickBot="1">
      <c r="A209" s="72" t="s">
        <v>269</v>
      </c>
      <c r="B209" s="80"/>
      <c r="C209" s="64"/>
      <c r="D209" s="64"/>
      <c r="E209" s="64"/>
      <c r="F209" s="64"/>
      <c r="G209" s="64"/>
      <c r="H209" s="4"/>
      <c r="I209" s="207"/>
      <c r="J209" s="64"/>
      <c r="K209" s="208"/>
      <c r="L209" s="3"/>
      <c r="M209" s="87" t="s">
        <v>308</v>
      </c>
      <c r="N209" s="3"/>
      <c r="O209" s="3">
        <f t="shared" si="42"/>
        <v>0</v>
      </c>
      <c r="P209" s="3"/>
      <c r="Q209" s="3"/>
      <c r="R209" s="3"/>
      <c r="S209" s="3"/>
      <c r="T209" s="3"/>
      <c r="U209" s="3"/>
      <c r="V209" s="3"/>
      <c r="W209" s="3"/>
      <c r="X209" s="3"/>
      <c r="Y209" s="3"/>
      <c r="Z209" s="3"/>
      <c r="AA209" s="3"/>
      <c r="AB209" s="3"/>
      <c r="AC209" s="3"/>
      <c r="AD209" s="3"/>
      <c r="AE209" s="3"/>
      <c r="AF209" s="3"/>
      <c r="AG209" s="3"/>
      <c r="AH209" s="5"/>
      <c r="AI209" s="3"/>
      <c r="AJ209" s="3"/>
      <c r="AK209" s="3"/>
      <c r="AL209" s="3"/>
      <c r="AM209" s="5"/>
      <c r="AN209" s="3"/>
      <c r="AO209" s="3"/>
      <c r="AP209" s="3"/>
      <c r="AQ209" s="3"/>
    </row>
    <row r="210" spans="1:43" ht="35.450000000000003" customHeight="1" thickBot="1">
      <c r="A210" s="76" t="s">
        <v>309</v>
      </c>
      <c r="B210" s="217">
        <v>2523</v>
      </c>
      <c r="C210" s="78"/>
      <c r="D210" s="5"/>
      <c r="E210" s="5"/>
      <c r="F210" s="5"/>
      <c r="G210" s="5"/>
      <c r="H210" s="5"/>
      <c r="I210" s="5"/>
      <c r="J210" s="5"/>
      <c r="K210" s="5"/>
      <c r="L210" s="5">
        <v>6</v>
      </c>
      <c r="M210" s="5"/>
      <c r="N210" s="126">
        <f t="shared" ref="N210:W210" si="48">N217+N218+N223+N224+N225+N226+N227+N229+N230+N232+N233++N236+N239+N240+N241+N242+N243+N244+N245+N246+N247+N248+N249+N250+N251+N252+N253+N254+N255+N258+N259+N260+N261+N262+N263+N264+N265+N266+N270+N272+N273+N274+N275+N276+N278+N279+N280+N281+N282+N283+N284+N231+N267+N268+N277+N271+N219+N221+N222</f>
        <v>172515.49999999997</v>
      </c>
      <c r="O210" s="126">
        <f t="shared" si="48"/>
        <v>170620.3</v>
      </c>
      <c r="P210" s="126">
        <f t="shared" si="48"/>
        <v>43400.4</v>
      </c>
      <c r="Q210" s="126">
        <f t="shared" si="48"/>
        <v>43400.299999999996</v>
      </c>
      <c r="R210" s="126">
        <f t="shared" si="48"/>
        <v>54625.1</v>
      </c>
      <c r="S210" s="126">
        <f t="shared" si="48"/>
        <v>54580.4</v>
      </c>
      <c r="T210" s="126">
        <f t="shared" si="48"/>
        <v>0</v>
      </c>
      <c r="U210" s="126">
        <f t="shared" si="48"/>
        <v>0</v>
      </c>
      <c r="V210" s="126">
        <f t="shared" si="48"/>
        <v>74490.000000000015</v>
      </c>
      <c r="W210" s="126">
        <f t="shared" si="48"/>
        <v>72639.600000000006</v>
      </c>
      <c r="X210" s="126">
        <f>X211+X212+X214+X215+X217+X218+X223+X224+X225+X226+X227+X229+X230+X232+X233++X236+X239+X240+X241+X242+X243+X244+X245+X246+X247+X248+X249+X250+X251+X252+X253+X254+X255+X258+X259+X260+X261+X262+X263+X264+X265+X266+X270+X272+X273+X274+X275+X276+X278+X279+X280+X281+X282+X283+X284+X228+X219+X222+X257+X269+X277+X220+X256</f>
        <v>177632.8</v>
      </c>
      <c r="Y210" s="126">
        <f t="shared" ref="Y210:AQ210" si="49">Y211+Y212+Y214+Y215+Y217+Y218+Y223+Y224+Y225+Y226+Y227+Y229+Y230+Y232+Y233++Y236+Y239+Y240+Y241+Y242+Y243+Y244+Y245+Y246+Y247+Y248+Y249+Y250+Y251+Y252+Y253+Y254+Y255+Y258+Y259+Y260+Y261+Y262+Y263+Y264+Y265+Y266+Y270+Y272+Y273+Y274+Y275+Y276+Y278+Y279+Y280+Y281+Y282+Y283+Y284+Y228+Y219+Y222+Y257+Y269+Y277+Y220</f>
        <v>35856.5</v>
      </c>
      <c r="Z210" s="126">
        <f t="shared" si="49"/>
        <v>25000.400000000001</v>
      </c>
      <c r="AA210" s="126">
        <f t="shared" si="49"/>
        <v>0</v>
      </c>
      <c r="AB210" s="126">
        <f t="shared" si="49"/>
        <v>116415.90000000001</v>
      </c>
      <c r="AC210" s="126">
        <f t="shared" si="49"/>
        <v>137140.20000000001</v>
      </c>
      <c r="AD210" s="126">
        <f t="shared" si="49"/>
        <v>45361.099999999991</v>
      </c>
      <c r="AE210" s="126">
        <f t="shared" si="49"/>
        <v>15001.199999999999</v>
      </c>
      <c r="AF210" s="126">
        <f t="shared" si="49"/>
        <v>0</v>
      </c>
      <c r="AG210" s="126">
        <f t="shared" si="49"/>
        <v>76777.899999999994</v>
      </c>
      <c r="AH210" s="126">
        <f t="shared" si="49"/>
        <v>119780.49999999999</v>
      </c>
      <c r="AI210" s="126">
        <f t="shared" si="49"/>
        <v>35789.19999999999</v>
      </c>
      <c r="AJ210" s="126">
        <f t="shared" si="49"/>
        <v>8488.1999999999989</v>
      </c>
      <c r="AK210" s="126">
        <f t="shared" si="49"/>
        <v>0</v>
      </c>
      <c r="AL210" s="126">
        <f t="shared" si="49"/>
        <v>75503.100000000006</v>
      </c>
      <c r="AM210" s="126">
        <f t="shared" si="49"/>
        <v>119780.49999999999</v>
      </c>
      <c r="AN210" s="126">
        <f t="shared" si="49"/>
        <v>35789.19999999999</v>
      </c>
      <c r="AO210" s="126">
        <f t="shared" si="49"/>
        <v>8488.1999999999989</v>
      </c>
      <c r="AP210" s="126">
        <f t="shared" si="49"/>
        <v>0</v>
      </c>
      <c r="AQ210" s="126">
        <f t="shared" si="49"/>
        <v>75503.100000000006</v>
      </c>
    </row>
    <row r="211" spans="1:43" ht="35.450000000000003" customHeight="1" thickBot="1">
      <c r="A211" s="72" t="s">
        <v>310</v>
      </c>
      <c r="B211" s="156"/>
      <c r="C211" s="4" t="s">
        <v>311</v>
      </c>
      <c r="D211" s="4" t="s">
        <v>312</v>
      </c>
      <c r="E211" s="4" t="s">
        <v>313</v>
      </c>
      <c r="F211" s="218" t="s">
        <v>314</v>
      </c>
      <c r="G211" s="4"/>
      <c r="H211" s="4"/>
      <c r="I211" s="85" t="s">
        <v>21</v>
      </c>
      <c r="J211" s="85" t="s">
        <v>274</v>
      </c>
      <c r="K211" s="86" t="s">
        <v>23</v>
      </c>
      <c r="L211" s="3"/>
      <c r="M211" s="196" t="s">
        <v>315</v>
      </c>
      <c r="N211" s="3">
        <f t="shared" ref="N211:O215" si="50">P211+R211+T211+V211</f>
        <v>7111.9</v>
      </c>
      <c r="O211" s="3">
        <f t="shared" si="50"/>
        <v>6704.5</v>
      </c>
      <c r="P211" s="3"/>
      <c r="Q211" s="3"/>
      <c r="R211" s="3">
        <f>6303.7+808.2</f>
        <v>7111.9</v>
      </c>
      <c r="S211" s="3">
        <v>6704.5</v>
      </c>
      <c r="T211" s="3"/>
      <c r="U211" s="3"/>
      <c r="V211" s="3"/>
      <c r="W211" s="3"/>
      <c r="X211" s="3">
        <f>Y211+Z211+AA211+AB211</f>
        <v>6154.0999999999995</v>
      </c>
      <c r="Y211" s="3"/>
      <c r="Z211" s="3">
        <f>5387.4+759.7</f>
        <v>6147.0999999999995</v>
      </c>
      <c r="AA211" s="3"/>
      <c r="AB211" s="3">
        <f>6-1+1+1</f>
        <v>7</v>
      </c>
      <c r="AC211" s="3">
        <f>AD211+AE211+AF211+AG211</f>
        <v>5393.4</v>
      </c>
      <c r="AD211" s="3"/>
      <c r="AE211" s="3">
        <v>5387.4</v>
      </c>
      <c r="AF211" s="3"/>
      <c r="AG211" s="3">
        <v>6</v>
      </c>
      <c r="AH211" s="3">
        <f>AI211+AJ211+AK211+AL211</f>
        <v>5393.4</v>
      </c>
      <c r="AI211" s="3"/>
      <c r="AJ211" s="3">
        <v>5387.4</v>
      </c>
      <c r="AK211" s="3"/>
      <c r="AL211" s="3">
        <v>6</v>
      </c>
      <c r="AM211" s="3">
        <f>AN211+AO211+AP211+AQ211</f>
        <v>5393.4</v>
      </c>
      <c r="AN211" s="3"/>
      <c r="AO211" s="3">
        <v>5387.4</v>
      </c>
      <c r="AP211" s="3"/>
      <c r="AQ211" s="3">
        <v>6</v>
      </c>
    </row>
    <row r="212" spans="1:43" ht="35.450000000000003" customHeight="1" thickBot="1">
      <c r="A212" s="72" t="s">
        <v>310</v>
      </c>
      <c r="B212" s="156"/>
      <c r="C212" s="118" t="s">
        <v>191</v>
      </c>
      <c r="D212" s="118" t="s">
        <v>270</v>
      </c>
      <c r="E212" s="118" t="s">
        <v>271</v>
      </c>
      <c r="F212" s="4" t="s">
        <v>316</v>
      </c>
      <c r="G212" s="4"/>
      <c r="H212" s="4"/>
      <c r="I212" s="219" t="s">
        <v>317</v>
      </c>
      <c r="J212" s="64" t="s">
        <v>277</v>
      </c>
      <c r="K212" s="4"/>
      <c r="L212" s="3"/>
      <c r="M212" s="196" t="s">
        <v>318</v>
      </c>
      <c r="N212" s="3">
        <f t="shared" si="50"/>
        <v>750.6</v>
      </c>
      <c r="O212" s="3">
        <f t="shared" si="50"/>
        <v>717.6</v>
      </c>
      <c r="P212" s="3"/>
      <c r="Q212" s="3"/>
      <c r="R212" s="3">
        <f>688.6+62</f>
        <v>750.6</v>
      </c>
      <c r="S212" s="3">
        <v>717.6</v>
      </c>
      <c r="T212" s="3"/>
      <c r="U212" s="3"/>
      <c r="V212" s="3"/>
      <c r="W212" s="3"/>
      <c r="X212" s="3">
        <f>Y212+Z212+AA212+AB212</f>
        <v>699.5</v>
      </c>
      <c r="Y212" s="3"/>
      <c r="Z212" s="3">
        <f>599.5+100</f>
        <v>699.5</v>
      </c>
      <c r="AA212" s="3"/>
      <c r="AB212" s="3"/>
      <c r="AC212" s="3">
        <f>AD212+AE212+AF212+AG212</f>
        <v>599.5</v>
      </c>
      <c r="AD212" s="3"/>
      <c r="AE212" s="3">
        <v>599.5</v>
      </c>
      <c r="AF212" s="3"/>
      <c r="AG212" s="3"/>
      <c r="AH212" s="3">
        <f>AI212+AJ212+AK212+AL212</f>
        <v>599.5</v>
      </c>
      <c r="AI212" s="3"/>
      <c r="AJ212" s="3">
        <v>599.5</v>
      </c>
      <c r="AK212" s="3"/>
      <c r="AL212" s="3"/>
      <c r="AM212" s="3">
        <f>AN212+AO212+AP212+AQ212</f>
        <v>599.5</v>
      </c>
      <c r="AN212" s="3"/>
      <c r="AO212" s="3">
        <v>599.5</v>
      </c>
      <c r="AP212" s="3"/>
      <c r="AQ212" s="3"/>
    </row>
    <row r="213" spans="1:43" ht="35.450000000000003" customHeight="1" thickBot="1">
      <c r="A213" s="72" t="s">
        <v>310</v>
      </c>
      <c r="B213" s="156"/>
      <c r="C213" s="4"/>
      <c r="D213" s="4"/>
      <c r="E213" s="4"/>
      <c r="F213" s="84" t="s">
        <v>272</v>
      </c>
      <c r="G213" s="84" t="s">
        <v>19</v>
      </c>
      <c r="H213" s="84" t="s">
        <v>273</v>
      </c>
      <c r="I213" s="64"/>
      <c r="J213" s="64"/>
      <c r="K213" s="4"/>
      <c r="L213" s="3"/>
      <c r="M213" s="196"/>
      <c r="N213" s="3">
        <f t="shared" si="50"/>
        <v>259.5</v>
      </c>
      <c r="O213" s="3">
        <f t="shared" si="50"/>
        <v>0</v>
      </c>
      <c r="P213" s="3"/>
      <c r="Q213" s="3"/>
      <c r="R213" s="3">
        <v>259.5</v>
      </c>
      <c r="S213" s="3">
        <v>0</v>
      </c>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row>
    <row r="214" spans="1:43" ht="35.450000000000003" customHeight="1" thickBot="1">
      <c r="A214" s="72" t="s">
        <v>310</v>
      </c>
      <c r="B214" s="156"/>
      <c r="C214" s="4"/>
      <c r="D214" s="4"/>
      <c r="E214" s="4"/>
      <c r="F214" s="220" t="s">
        <v>1253</v>
      </c>
      <c r="G214" s="221"/>
      <c r="H214" s="222"/>
      <c r="I214" s="219"/>
      <c r="J214" s="64"/>
      <c r="K214" s="4"/>
      <c r="L214" s="3"/>
      <c r="M214" s="196" t="s">
        <v>319</v>
      </c>
      <c r="N214" s="3">
        <f t="shared" si="50"/>
        <v>0</v>
      </c>
      <c r="O214" s="3">
        <f t="shared" si="50"/>
        <v>0</v>
      </c>
      <c r="P214" s="3"/>
      <c r="Q214" s="3"/>
      <c r="R214" s="3"/>
      <c r="S214" s="3"/>
      <c r="T214" s="3"/>
      <c r="U214" s="3"/>
      <c r="V214" s="3">
        <v>0</v>
      </c>
      <c r="W214" s="3"/>
      <c r="X214" s="3">
        <f>Y214+Z214+AA214+AB214</f>
        <v>164.3</v>
      </c>
      <c r="Y214" s="3"/>
      <c r="Z214" s="3">
        <v>164.3</v>
      </c>
      <c r="AA214" s="3"/>
      <c r="AB214" s="3">
        <v>0</v>
      </c>
      <c r="AC214" s="3">
        <f>AD214+AE214+AF214+AG214</f>
        <v>0</v>
      </c>
      <c r="AD214" s="3"/>
      <c r="AE214" s="3"/>
      <c r="AF214" s="3"/>
      <c r="AG214" s="3">
        <v>0</v>
      </c>
      <c r="AH214" s="3">
        <f>AI214+AJ214+AK214+AL214</f>
        <v>0</v>
      </c>
      <c r="AI214" s="3"/>
      <c r="AJ214" s="3"/>
      <c r="AK214" s="3"/>
      <c r="AL214" s="3">
        <v>0</v>
      </c>
      <c r="AM214" s="3">
        <f>AN214+AO214+AP214+AQ214</f>
        <v>0</v>
      </c>
      <c r="AN214" s="3"/>
      <c r="AO214" s="3"/>
      <c r="AP214" s="3"/>
      <c r="AQ214" s="3">
        <v>0</v>
      </c>
    </row>
    <row r="215" spans="1:43" ht="35.450000000000003" customHeight="1" thickBot="1">
      <c r="A215" s="72" t="s">
        <v>310</v>
      </c>
      <c r="B215" s="156"/>
      <c r="C215" s="4"/>
      <c r="D215" s="4"/>
      <c r="E215" s="4"/>
      <c r="F215" s="218"/>
      <c r="G215" s="4"/>
      <c r="H215" s="4"/>
      <c r="I215" s="219"/>
      <c r="J215" s="64"/>
      <c r="K215" s="4"/>
      <c r="L215" s="3"/>
      <c r="M215" s="196" t="s">
        <v>320</v>
      </c>
      <c r="N215" s="3">
        <f t="shared" si="50"/>
        <v>8.1</v>
      </c>
      <c r="O215" s="3">
        <f t="shared" si="50"/>
        <v>7.4</v>
      </c>
      <c r="P215" s="3"/>
      <c r="Q215" s="3"/>
      <c r="R215" s="3"/>
      <c r="S215" s="3"/>
      <c r="T215" s="3"/>
      <c r="U215" s="3"/>
      <c r="V215" s="3">
        <f>7+1.1</f>
        <v>8.1</v>
      </c>
      <c r="W215" s="3">
        <v>7.4</v>
      </c>
      <c r="X215" s="3">
        <f>Y215+Z215+AA215+AB215</f>
        <v>0</v>
      </c>
      <c r="Y215" s="3"/>
      <c r="Z215" s="3"/>
      <c r="AA215" s="3"/>
      <c r="AB215" s="3">
        <v>0</v>
      </c>
      <c r="AC215" s="3">
        <f>AD215+AE215+AF215+AG215</f>
        <v>0</v>
      </c>
      <c r="AD215" s="3"/>
      <c r="AE215" s="3"/>
      <c r="AF215" s="3"/>
      <c r="AG215" s="3">
        <v>0</v>
      </c>
      <c r="AH215" s="3">
        <f>AI215+AJ215+AK215+AL215</f>
        <v>0</v>
      </c>
      <c r="AI215" s="3"/>
      <c r="AJ215" s="3"/>
      <c r="AK215" s="3"/>
      <c r="AL215" s="3">
        <v>0</v>
      </c>
      <c r="AM215" s="3">
        <f>AN215+AO215+AP215+AQ215</f>
        <v>0</v>
      </c>
      <c r="AN215" s="3"/>
      <c r="AO215" s="3"/>
      <c r="AP215" s="3"/>
      <c r="AQ215" s="3">
        <v>0</v>
      </c>
    </row>
    <row r="216" spans="1:43" ht="35.450000000000003" customHeight="1" thickBot="1">
      <c r="A216" s="72" t="s">
        <v>310</v>
      </c>
      <c r="B216" s="217"/>
      <c r="C216" s="78"/>
      <c r="D216" s="5"/>
      <c r="E216" s="5"/>
      <c r="F216" s="64"/>
      <c r="G216" s="64"/>
      <c r="H216" s="223"/>
      <c r="I216" s="5"/>
      <c r="J216" s="5"/>
      <c r="K216" s="5"/>
      <c r="L216" s="5"/>
      <c r="M216" s="5"/>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c r="AO216" s="126"/>
      <c r="AP216" s="126"/>
      <c r="AQ216" s="126"/>
    </row>
    <row r="217" spans="1:43" ht="35.450000000000003" customHeight="1" thickBot="1">
      <c r="A217" s="72" t="s">
        <v>310</v>
      </c>
      <c r="B217" s="80"/>
      <c r="C217" s="64"/>
      <c r="D217" s="64"/>
      <c r="E217" s="64"/>
      <c r="F217" s="64"/>
      <c r="G217" s="64"/>
      <c r="H217" s="4"/>
      <c r="I217" s="207"/>
      <c r="J217" s="64"/>
      <c r="K217" s="208"/>
      <c r="L217" s="3"/>
      <c r="M217" s="87" t="s">
        <v>324</v>
      </c>
      <c r="N217" s="3">
        <f t="shared" ref="N217:O233" si="51">P217+R217+T217+V217</f>
        <v>0</v>
      </c>
      <c r="O217" s="128">
        <f t="shared" si="51"/>
        <v>0</v>
      </c>
      <c r="P217" s="3"/>
      <c r="Q217" s="3"/>
      <c r="R217" s="3"/>
      <c r="S217" s="3"/>
      <c r="T217" s="3"/>
      <c r="U217" s="3"/>
      <c r="V217" s="3"/>
      <c r="W217" s="3"/>
      <c r="X217" s="3">
        <f t="shared" ref="X217:X225" si="52">Y217+Z217+AA217+AB217</f>
        <v>0</v>
      </c>
      <c r="Y217" s="3"/>
      <c r="Z217" s="3"/>
      <c r="AA217" s="3"/>
      <c r="AB217" s="3"/>
      <c r="AC217" s="3">
        <f t="shared" ref="AC217:AC225" si="53">AD217+AE217+AF217+AG217</f>
        <v>0</v>
      </c>
      <c r="AD217" s="3"/>
      <c r="AE217" s="3"/>
      <c r="AF217" s="3"/>
      <c r="AG217" s="3"/>
      <c r="AH217" s="3">
        <f t="shared" ref="AH217:AH225" si="54">AI217+AJ217+AK217+AL217</f>
        <v>0</v>
      </c>
      <c r="AI217" s="3"/>
      <c r="AJ217" s="3"/>
      <c r="AK217" s="3"/>
      <c r="AL217" s="3"/>
      <c r="AM217" s="3">
        <f t="shared" ref="AM217:AM225" si="55">AN217+AO217+AP217+AQ217</f>
        <v>0</v>
      </c>
      <c r="AN217" s="3"/>
      <c r="AO217" s="3"/>
      <c r="AP217" s="3"/>
      <c r="AQ217" s="3"/>
    </row>
    <row r="218" spans="1:43" ht="35.450000000000003" customHeight="1" thickBot="1">
      <c r="A218" s="72" t="s">
        <v>310</v>
      </c>
      <c r="B218" s="80"/>
      <c r="C218" s="64"/>
      <c r="D218" s="64"/>
      <c r="E218" s="64"/>
      <c r="F218" s="208" t="s">
        <v>325</v>
      </c>
      <c r="G218" s="64" t="s">
        <v>277</v>
      </c>
      <c r="H218" s="4"/>
      <c r="I218" s="207"/>
      <c r="J218" s="64"/>
      <c r="K218" s="208"/>
      <c r="L218" s="3"/>
      <c r="M218" s="87" t="s">
        <v>326</v>
      </c>
      <c r="N218" s="3">
        <f t="shared" si="51"/>
        <v>0</v>
      </c>
      <c r="O218" s="128">
        <f t="shared" si="51"/>
        <v>0</v>
      </c>
      <c r="P218" s="3"/>
      <c r="Q218" s="3"/>
      <c r="R218" s="3"/>
      <c r="S218" s="3"/>
      <c r="T218" s="3"/>
      <c r="U218" s="3"/>
      <c r="V218" s="3"/>
      <c r="W218" s="3"/>
      <c r="X218" s="3">
        <f t="shared" si="52"/>
        <v>0</v>
      </c>
      <c r="Y218" s="3"/>
      <c r="Z218" s="3"/>
      <c r="AA218" s="3"/>
      <c r="AB218" s="3"/>
      <c r="AC218" s="3">
        <f t="shared" si="53"/>
        <v>0</v>
      </c>
      <c r="AD218" s="3"/>
      <c r="AE218" s="3"/>
      <c r="AF218" s="3"/>
      <c r="AG218" s="3"/>
      <c r="AH218" s="3">
        <f t="shared" si="54"/>
        <v>0</v>
      </c>
      <c r="AI218" s="3"/>
      <c r="AJ218" s="3"/>
      <c r="AK218" s="3"/>
      <c r="AL218" s="3"/>
      <c r="AM218" s="3">
        <f t="shared" si="55"/>
        <v>0</v>
      </c>
      <c r="AN218" s="3"/>
      <c r="AO218" s="3"/>
      <c r="AP218" s="3"/>
      <c r="AQ218" s="3"/>
    </row>
    <row r="219" spans="1:43" ht="35.450000000000003" customHeight="1" thickBot="1">
      <c r="A219" s="72" t="s">
        <v>310</v>
      </c>
      <c r="B219" s="80"/>
      <c r="C219" s="64"/>
      <c r="D219" s="64"/>
      <c r="E219" s="64"/>
      <c r="F219" s="64"/>
      <c r="G219" s="64"/>
      <c r="H219" s="4"/>
      <c r="I219" s="207" t="s">
        <v>327</v>
      </c>
      <c r="J219" s="64" t="s">
        <v>277</v>
      </c>
      <c r="K219" s="208"/>
      <c r="L219" s="3"/>
      <c r="M219" s="87" t="s">
        <v>328</v>
      </c>
      <c r="N219" s="3">
        <f t="shared" si="51"/>
        <v>189.9</v>
      </c>
      <c r="O219" s="128">
        <f t="shared" si="51"/>
        <v>189.9</v>
      </c>
      <c r="P219" s="3">
        <f>194.3-4.4</f>
        <v>189.9</v>
      </c>
      <c r="Q219" s="3">
        <v>189.9</v>
      </c>
      <c r="R219" s="3"/>
      <c r="S219" s="3"/>
      <c r="T219" s="3"/>
      <c r="U219" s="3"/>
      <c r="V219" s="3"/>
      <c r="W219" s="3"/>
      <c r="X219" s="3">
        <f t="shared" si="52"/>
        <v>418.4</v>
      </c>
      <c r="Y219" s="3">
        <f>585.9-167.5</f>
        <v>418.4</v>
      </c>
      <c r="Z219" s="3"/>
      <c r="AA219" s="3"/>
      <c r="AB219" s="3"/>
      <c r="AC219" s="3">
        <f t="shared" si="53"/>
        <v>585.9</v>
      </c>
      <c r="AD219" s="3">
        <v>585.9</v>
      </c>
      <c r="AE219" s="3"/>
      <c r="AF219" s="3"/>
      <c r="AG219" s="3"/>
      <c r="AH219" s="3">
        <f t="shared" si="54"/>
        <v>585.9</v>
      </c>
      <c r="AI219" s="3">
        <v>585.9</v>
      </c>
      <c r="AJ219" s="3"/>
      <c r="AK219" s="3"/>
      <c r="AL219" s="3"/>
      <c r="AM219" s="3">
        <f t="shared" si="55"/>
        <v>585.9</v>
      </c>
      <c r="AN219" s="3">
        <v>585.9</v>
      </c>
      <c r="AO219" s="3"/>
      <c r="AP219" s="3"/>
      <c r="AQ219" s="3"/>
    </row>
    <row r="220" spans="1:43" ht="35.450000000000003" customHeight="1" thickBot="1">
      <c r="A220" s="72" t="s">
        <v>310</v>
      </c>
      <c r="B220" s="80"/>
      <c r="C220" s="64"/>
      <c r="D220" s="64"/>
      <c r="E220" s="64"/>
      <c r="F220" s="64"/>
      <c r="G220" s="64"/>
      <c r="H220" s="4"/>
      <c r="I220" s="207"/>
      <c r="J220" s="64"/>
      <c r="K220" s="208"/>
      <c r="L220" s="3"/>
      <c r="M220" s="87" t="s">
        <v>329</v>
      </c>
      <c r="N220" s="3"/>
      <c r="O220" s="128"/>
      <c r="P220" s="3"/>
      <c r="Q220" s="3"/>
      <c r="R220" s="3"/>
      <c r="S220" s="3"/>
      <c r="T220" s="3"/>
      <c r="U220" s="3"/>
      <c r="V220" s="3"/>
      <c r="W220" s="3"/>
      <c r="X220" s="3">
        <f t="shared" si="52"/>
        <v>167.5</v>
      </c>
      <c r="Y220" s="3">
        <v>167.5</v>
      </c>
      <c r="Z220" s="3"/>
      <c r="AA220" s="3"/>
      <c r="AB220" s="3">
        <v>0</v>
      </c>
      <c r="AC220" s="3">
        <f t="shared" si="53"/>
        <v>0</v>
      </c>
      <c r="AD220" s="3"/>
      <c r="AE220" s="3"/>
      <c r="AF220" s="3"/>
      <c r="AG220" s="3"/>
      <c r="AH220" s="3">
        <f t="shared" si="54"/>
        <v>0</v>
      </c>
      <c r="AI220" s="3"/>
      <c r="AJ220" s="3"/>
      <c r="AK220" s="3"/>
      <c r="AL220" s="3"/>
      <c r="AM220" s="3">
        <f t="shared" si="55"/>
        <v>0</v>
      </c>
      <c r="AN220" s="3"/>
      <c r="AO220" s="3"/>
      <c r="AP220" s="3"/>
      <c r="AQ220" s="3"/>
    </row>
    <row r="221" spans="1:43" ht="35.450000000000003" customHeight="1" thickBot="1">
      <c r="A221" s="72" t="s">
        <v>310</v>
      </c>
      <c r="B221" s="80"/>
      <c r="C221" s="64"/>
      <c r="D221" s="64"/>
      <c r="E221" s="64"/>
      <c r="F221" s="64"/>
      <c r="G221" s="64"/>
      <c r="H221" s="4"/>
      <c r="I221" s="207"/>
      <c r="J221" s="64"/>
      <c r="K221" s="208"/>
      <c r="L221" s="3"/>
      <c r="M221" s="87" t="s">
        <v>330</v>
      </c>
      <c r="N221" s="3">
        <f t="shared" si="51"/>
        <v>0</v>
      </c>
      <c r="O221" s="128">
        <f t="shared" si="51"/>
        <v>0</v>
      </c>
      <c r="P221" s="3">
        <f>38.9-38.9</f>
        <v>0</v>
      </c>
      <c r="Q221" s="3"/>
      <c r="R221" s="3"/>
      <c r="S221" s="3"/>
      <c r="T221" s="3"/>
      <c r="U221" s="3"/>
      <c r="V221" s="3"/>
      <c r="W221" s="3"/>
      <c r="X221" s="3">
        <f t="shared" si="52"/>
        <v>0</v>
      </c>
      <c r="Y221" s="3"/>
      <c r="Z221" s="3"/>
      <c r="AA221" s="3"/>
      <c r="AB221" s="3"/>
      <c r="AC221" s="3">
        <f t="shared" si="53"/>
        <v>0</v>
      </c>
      <c r="AD221" s="3"/>
      <c r="AE221" s="3"/>
      <c r="AF221" s="3"/>
      <c r="AG221" s="3"/>
      <c r="AH221" s="3">
        <f t="shared" si="54"/>
        <v>0</v>
      </c>
      <c r="AI221" s="3"/>
      <c r="AJ221" s="3"/>
      <c r="AK221" s="3"/>
      <c r="AL221" s="3"/>
      <c r="AM221" s="3">
        <f t="shared" si="55"/>
        <v>0</v>
      </c>
      <c r="AN221" s="3"/>
      <c r="AO221" s="3"/>
      <c r="AP221" s="3"/>
      <c r="AQ221" s="3"/>
    </row>
    <row r="222" spans="1:43" ht="35.450000000000003" customHeight="1" thickBot="1">
      <c r="A222" s="72" t="s">
        <v>310</v>
      </c>
      <c r="B222" s="80"/>
      <c r="C222" s="64"/>
      <c r="D222" s="64"/>
      <c r="E222" s="64"/>
      <c r="F222" s="64"/>
      <c r="G222" s="64"/>
      <c r="H222" s="4"/>
      <c r="I222" s="207"/>
      <c r="J222" s="64"/>
      <c r="K222" s="208"/>
      <c r="L222" s="3"/>
      <c r="M222" s="87" t="s">
        <v>331</v>
      </c>
      <c r="N222" s="3">
        <f t="shared" si="51"/>
        <v>34.4</v>
      </c>
      <c r="O222" s="128">
        <f t="shared" si="51"/>
        <v>34.4</v>
      </c>
      <c r="P222" s="3">
        <f>38.9-4.5</f>
        <v>34.4</v>
      </c>
      <c r="Q222" s="3">
        <v>34.4</v>
      </c>
      <c r="R222" s="3"/>
      <c r="S222" s="3"/>
      <c r="T222" s="3"/>
      <c r="U222" s="3"/>
      <c r="V222" s="3"/>
      <c r="W222" s="3"/>
      <c r="X222" s="3">
        <f t="shared" si="52"/>
        <v>117.2</v>
      </c>
      <c r="Y222" s="3">
        <v>117.2</v>
      </c>
      <c r="Z222" s="3"/>
      <c r="AA222" s="3"/>
      <c r="AB222" s="3"/>
      <c r="AC222" s="3">
        <f t="shared" si="53"/>
        <v>117.2</v>
      </c>
      <c r="AD222" s="3">
        <v>117.2</v>
      </c>
      <c r="AE222" s="3"/>
      <c r="AF222" s="3"/>
      <c r="AG222" s="3"/>
      <c r="AH222" s="3">
        <f t="shared" si="54"/>
        <v>117.2</v>
      </c>
      <c r="AI222" s="3">
        <v>117.2</v>
      </c>
      <c r="AJ222" s="3"/>
      <c r="AK222" s="3"/>
      <c r="AL222" s="3"/>
      <c r="AM222" s="3">
        <f t="shared" si="55"/>
        <v>117.2</v>
      </c>
      <c r="AN222" s="3">
        <v>117.2</v>
      </c>
      <c r="AO222" s="3"/>
      <c r="AP222" s="3"/>
      <c r="AQ222" s="3"/>
    </row>
    <row r="223" spans="1:43" ht="35.450000000000003" customHeight="1" thickBot="1">
      <c r="A223" s="72" t="s">
        <v>310</v>
      </c>
      <c r="B223" s="80"/>
      <c r="C223" s="64"/>
      <c r="D223" s="64"/>
      <c r="E223" s="64"/>
      <c r="F223" s="64"/>
      <c r="G223" s="64"/>
      <c r="H223" s="223"/>
      <c r="I223" s="207"/>
      <c r="J223" s="64"/>
      <c r="K223" s="208"/>
      <c r="L223" s="3"/>
      <c r="M223" s="87" t="s">
        <v>332</v>
      </c>
      <c r="N223" s="3">
        <f t="shared" si="51"/>
        <v>22137.8</v>
      </c>
      <c r="O223" s="128">
        <f t="shared" si="51"/>
        <v>22137.8</v>
      </c>
      <c r="P223" s="3">
        <f>12772.6+2322.9+6998.2+44+0.1</f>
        <v>22137.8</v>
      </c>
      <c r="Q223" s="3">
        <v>22137.8</v>
      </c>
      <c r="R223" s="3"/>
      <c r="S223" s="3"/>
      <c r="T223" s="3"/>
      <c r="U223" s="3"/>
      <c r="V223" s="3"/>
      <c r="W223" s="3"/>
      <c r="X223" s="3">
        <f t="shared" si="52"/>
        <v>25417.599999999999</v>
      </c>
      <c r="Y223" s="3">
        <f>25779.6-362</f>
        <v>25417.599999999999</v>
      </c>
      <c r="Z223" s="3"/>
      <c r="AA223" s="3"/>
      <c r="AB223" s="3"/>
      <c r="AC223" s="3">
        <f t="shared" si="53"/>
        <v>25779.599999999999</v>
      </c>
      <c r="AD223" s="3">
        <v>25779.599999999999</v>
      </c>
      <c r="AE223" s="3"/>
      <c r="AF223" s="3"/>
      <c r="AG223" s="3"/>
      <c r="AH223" s="3">
        <f t="shared" si="54"/>
        <v>25779.599999999999</v>
      </c>
      <c r="AI223" s="3">
        <v>25779.599999999999</v>
      </c>
      <c r="AJ223" s="3"/>
      <c r="AK223" s="3"/>
      <c r="AL223" s="3"/>
      <c r="AM223" s="3">
        <f t="shared" si="55"/>
        <v>25779.599999999999</v>
      </c>
      <c r="AN223" s="3">
        <v>25779.599999999999</v>
      </c>
      <c r="AO223" s="3"/>
      <c r="AP223" s="3"/>
      <c r="AQ223" s="3"/>
    </row>
    <row r="224" spans="1:43" ht="35.450000000000003" customHeight="1" thickBot="1">
      <c r="A224" s="72" t="s">
        <v>310</v>
      </c>
      <c r="B224" s="80"/>
      <c r="C224" s="64"/>
      <c r="D224" s="64"/>
      <c r="E224" s="64"/>
      <c r="F224" s="64"/>
      <c r="G224" s="64"/>
      <c r="H224" s="223"/>
      <c r="I224" s="207"/>
      <c r="J224" s="64"/>
      <c r="K224" s="208"/>
      <c r="L224" s="3"/>
      <c r="M224" s="87" t="s">
        <v>333</v>
      </c>
      <c r="N224" s="3">
        <f t="shared" si="51"/>
        <v>6388.9</v>
      </c>
      <c r="O224" s="128">
        <f t="shared" si="51"/>
        <v>6388.9</v>
      </c>
      <c r="P224" s="3">
        <f>3632.6+660.6+0+1921.7+174</f>
        <v>6388.9</v>
      </c>
      <c r="Q224" s="3">
        <v>6388.9</v>
      </c>
      <c r="R224" s="3"/>
      <c r="S224" s="3"/>
      <c r="T224" s="3"/>
      <c r="U224" s="3"/>
      <c r="V224" s="3"/>
      <c r="W224" s="3"/>
      <c r="X224" s="3">
        <f t="shared" si="52"/>
        <v>7265.2</v>
      </c>
      <c r="Y224" s="3">
        <v>7265.2</v>
      </c>
      <c r="Z224" s="3"/>
      <c r="AA224" s="3"/>
      <c r="AB224" s="3"/>
      <c r="AC224" s="3">
        <f t="shared" si="53"/>
        <v>7265.2</v>
      </c>
      <c r="AD224" s="3">
        <v>7265.2</v>
      </c>
      <c r="AE224" s="3"/>
      <c r="AF224" s="3"/>
      <c r="AG224" s="3"/>
      <c r="AH224" s="3">
        <f t="shared" si="54"/>
        <v>7265.2</v>
      </c>
      <c r="AI224" s="3">
        <v>7265.2</v>
      </c>
      <c r="AJ224" s="3"/>
      <c r="AK224" s="3"/>
      <c r="AL224" s="3"/>
      <c r="AM224" s="3">
        <f t="shared" si="55"/>
        <v>7265.2</v>
      </c>
      <c r="AN224" s="3">
        <v>7265.2</v>
      </c>
      <c r="AO224" s="3"/>
      <c r="AP224" s="3"/>
      <c r="AQ224" s="3"/>
    </row>
    <row r="225" spans="1:43" ht="35.450000000000003" customHeight="1" thickBot="1">
      <c r="A225" s="72" t="s">
        <v>310</v>
      </c>
      <c r="B225" s="80"/>
      <c r="C225" s="64"/>
      <c r="D225" s="64"/>
      <c r="E225" s="64"/>
      <c r="F225" s="64"/>
      <c r="G225" s="64"/>
      <c r="H225" s="223"/>
      <c r="I225" s="207"/>
      <c r="J225" s="64"/>
      <c r="K225" s="208"/>
      <c r="L225" s="3"/>
      <c r="M225" s="87" t="s">
        <v>334</v>
      </c>
      <c r="N225" s="3">
        <f t="shared" si="51"/>
        <v>0</v>
      </c>
      <c r="O225" s="128">
        <f t="shared" si="51"/>
        <v>0</v>
      </c>
      <c r="P225" s="3">
        <f>1743.4-218-1525.4</f>
        <v>0</v>
      </c>
      <c r="Q225" s="3"/>
      <c r="R225" s="3"/>
      <c r="S225" s="3"/>
      <c r="T225" s="3"/>
      <c r="U225" s="3"/>
      <c r="V225" s="3"/>
      <c r="W225" s="3"/>
      <c r="X225" s="3">
        <f t="shared" si="52"/>
        <v>362</v>
      </c>
      <c r="Y225" s="3">
        <v>362</v>
      </c>
      <c r="Z225" s="3"/>
      <c r="AA225" s="3"/>
      <c r="AB225" s="3"/>
      <c r="AC225" s="3">
        <f t="shared" si="53"/>
        <v>0</v>
      </c>
      <c r="AD225" s="3"/>
      <c r="AE225" s="3"/>
      <c r="AF225" s="3"/>
      <c r="AG225" s="3"/>
      <c r="AH225" s="3">
        <f t="shared" si="54"/>
        <v>0</v>
      </c>
      <c r="AI225" s="3"/>
      <c r="AJ225" s="3"/>
      <c r="AK225" s="3"/>
      <c r="AL225" s="3"/>
      <c r="AM225" s="3">
        <f t="shared" si="55"/>
        <v>0</v>
      </c>
      <c r="AN225" s="3"/>
      <c r="AO225" s="3"/>
      <c r="AP225" s="3"/>
      <c r="AQ225" s="3"/>
    </row>
    <row r="226" spans="1:43" ht="35.450000000000003" customHeight="1" thickBot="1">
      <c r="A226" s="72" t="s">
        <v>310</v>
      </c>
      <c r="B226" s="80"/>
      <c r="C226" s="134"/>
      <c r="D226" s="64"/>
      <c r="E226" s="64"/>
      <c r="F226" s="64"/>
      <c r="G226" s="64"/>
      <c r="H226" s="223"/>
      <c r="I226" s="207"/>
      <c r="J226" s="64"/>
      <c r="K226" s="208"/>
      <c r="L226" s="3"/>
      <c r="M226" s="87" t="s">
        <v>335</v>
      </c>
      <c r="N226" s="3">
        <f t="shared" si="51"/>
        <v>18129</v>
      </c>
      <c r="O226" s="128">
        <f t="shared" si="51"/>
        <v>18122.5</v>
      </c>
      <c r="P226" s="3"/>
      <c r="Q226" s="3"/>
      <c r="R226" s="3">
        <v>18129</v>
      </c>
      <c r="S226" s="3">
        <v>18122.5</v>
      </c>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row>
    <row r="227" spans="1:43" ht="35.450000000000003" customHeight="1" thickBot="1">
      <c r="A227" s="72" t="s">
        <v>336</v>
      </c>
      <c r="B227" s="80"/>
      <c r="C227" s="224"/>
      <c r="D227" s="64"/>
      <c r="E227" s="64"/>
      <c r="F227" s="208"/>
      <c r="G227" s="64"/>
      <c r="H227" s="64"/>
      <c r="I227" s="208"/>
      <c r="J227" s="64"/>
      <c r="K227" s="208"/>
      <c r="L227" s="3"/>
      <c r="M227" s="87" t="s">
        <v>337</v>
      </c>
      <c r="N227" s="3">
        <f t="shared" si="51"/>
        <v>0</v>
      </c>
      <c r="O227" s="128">
        <f t="shared" si="51"/>
        <v>0</v>
      </c>
      <c r="P227" s="3"/>
      <c r="Q227" s="3"/>
      <c r="R227" s="3">
        <v>0</v>
      </c>
      <c r="S227" s="3"/>
      <c r="T227" s="3"/>
      <c r="U227" s="3"/>
      <c r="V227" s="3"/>
      <c r="W227" s="3"/>
      <c r="X227" s="3">
        <f>Y227+Z227+AA227+AB227</f>
        <v>0</v>
      </c>
      <c r="Y227" s="3"/>
      <c r="Z227" s="3">
        <v>0</v>
      </c>
      <c r="AA227" s="3"/>
      <c r="AB227" s="3"/>
      <c r="AC227" s="3">
        <f>AD227+AE227+AF227+AG227</f>
        <v>0</v>
      </c>
      <c r="AD227" s="3"/>
      <c r="AE227" s="3">
        <v>0</v>
      </c>
      <c r="AF227" s="3"/>
      <c r="AG227" s="3"/>
      <c r="AH227" s="3">
        <f>AI227+AJ227+AK227+AL227</f>
        <v>0</v>
      </c>
      <c r="AI227" s="3"/>
      <c r="AJ227" s="3">
        <v>0</v>
      </c>
      <c r="AK227" s="3"/>
      <c r="AL227" s="3"/>
      <c r="AM227" s="3">
        <f>AN227+AO227+AP227+AQ227</f>
        <v>0</v>
      </c>
      <c r="AN227" s="3"/>
      <c r="AO227" s="3">
        <v>0</v>
      </c>
      <c r="AP227" s="3"/>
      <c r="AQ227" s="3"/>
    </row>
    <row r="228" spans="1:43" ht="35.450000000000003" customHeight="1" thickBot="1">
      <c r="A228" s="72" t="s">
        <v>336</v>
      </c>
      <c r="B228" s="80"/>
      <c r="C228" s="134"/>
      <c r="D228" s="64"/>
      <c r="E228" s="64"/>
      <c r="F228" s="208"/>
      <c r="G228" s="64"/>
      <c r="H228" s="64"/>
      <c r="I228" s="208"/>
      <c r="J228" s="64"/>
      <c r="K228" s="208"/>
      <c r="L228" s="3"/>
      <c r="M228" s="87"/>
      <c r="N228" s="3"/>
      <c r="O228" s="128">
        <f t="shared" si="51"/>
        <v>0</v>
      </c>
      <c r="P228" s="3"/>
      <c r="Q228" s="3"/>
      <c r="R228" s="3"/>
      <c r="S228" s="3"/>
      <c r="T228" s="3"/>
      <c r="U228" s="3"/>
      <c r="V228" s="3"/>
      <c r="W228" s="3"/>
      <c r="X228" s="3">
        <f>Y228+Z228+AA228+AB228</f>
        <v>0</v>
      </c>
      <c r="Y228" s="3">
        <v>0</v>
      </c>
      <c r="Z228" s="3">
        <v>0</v>
      </c>
      <c r="AA228" s="3"/>
      <c r="AB228" s="3"/>
      <c r="AC228" s="3">
        <f>AD228+AE228+AF228+AG228</f>
        <v>0</v>
      </c>
      <c r="AD228" s="3"/>
      <c r="AE228" s="3"/>
      <c r="AF228" s="3"/>
      <c r="AG228" s="3"/>
      <c r="AH228" s="3">
        <f>AI228+AJ228+AK228+AL228</f>
        <v>0</v>
      </c>
      <c r="AI228" s="3">
        <v>0</v>
      </c>
      <c r="AJ228" s="3">
        <v>0</v>
      </c>
      <c r="AK228" s="3"/>
      <c r="AL228" s="3"/>
      <c r="AM228" s="3">
        <f>AN228+AO228+AP228+AQ228</f>
        <v>0</v>
      </c>
      <c r="AN228" s="3">
        <v>0</v>
      </c>
      <c r="AO228" s="3">
        <v>0</v>
      </c>
      <c r="AP228" s="3"/>
      <c r="AQ228" s="3"/>
    </row>
    <row r="229" spans="1:43" ht="35.450000000000003" customHeight="1" thickBot="1">
      <c r="A229" s="72" t="s">
        <v>310</v>
      </c>
      <c r="B229" s="80"/>
      <c r="C229" s="64"/>
      <c r="D229" s="64"/>
      <c r="E229" s="64"/>
      <c r="F229" s="208"/>
      <c r="G229" s="64"/>
      <c r="H229" s="64"/>
      <c r="I229" s="208" t="s">
        <v>339</v>
      </c>
      <c r="J229" s="64" t="s">
        <v>277</v>
      </c>
      <c r="K229" s="208"/>
      <c r="L229" s="3"/>
      <c r="M229" s="87" t="s">
        <v>338</v>
      </c>
      <c r="N229" s="3">
        <f t="shared" si="51"/>
        <v>1757.5</v>
      </c>
      <c r="O229" s="128">
        <f t="shared" si="51"/>
        <v>1755.3</v>
      </c>
      <c r="P229" s="3"/>
      <c r="Q229" s="3"/>
      <c r="R229" s="3">
        <v>1757.5</v>
      </c>
      <c r="S229" s="3">
        <v>1755.3</v>
      </c>
      <c r="T229" s="3"/>
      <c r="U229" s="3"/>
      <c r="V229" s="3"/>
      <c r="W229" s="3"/>
      <c r="X229" s="3">
        <f>Y229+Z229+AA229+AB229</f>
        <v>2349.6999999999998</v>
      </c>
      <c r="Y229" s="3"/>
      <c r="Z229" s="3">
        <v>2169</v>
      </c>
      <c r="AA229" s="3"/>
      <c r="AB229" s="3">
        <v>180.7</v>
      </c>
      <c r="AC229" s="3">
        <f>AD229+AE229+AF229+AG229</f>
        <v>2349.8000000000002</v>
      </c>
      <c r="AD229" s="3"/>
      <c r="AE229" s="3">
        <v>2169</v>
      </c>
      <c r="AF229" s="3"/>
      <c r="AG229" s="3">
        <v>180.8</v>
      </c>
      <c r="AH229" s="3">
        <f>AI229+AJ229+AK229+AL229</f>
        <v>2349.8000000000002</v>
      </c>
      <c r="AI229" s="3"/>
      <c r="AJ229" s="3">
        <v>2169</v>
      </c>
      <c r="AK229" s="3"/>
      <c r="AL229" s="3">
        <v>180.8</v>
      </c>
      <c r="AM229" s="3">
        <f>AN229+AO229+AP229+AQ229</f>
        <v>2349.8000000000002</v>
      </c>
      <c r="AN229" s="3"/>
      <c r="AO229" s="3">
        <v>2169</v>
      </c>
      <c r="AP229" s="3"/>
      <c r="AQ229" s="3">
        <v>180.8</v>
      </c>
    </row>
    <row r="230" spans="1:43" ht="35.450000000000003" customHeight="1" thickBot="1">
      <c r="A230" s="72" t="s">
        <v>310</v>
      </c>
      <c r="B230" s="80"/>
      <c r="C230" s="64"/>
      <c r="D230" s="64"/>
      <c r="E230" s="64"/>
      <c r="F230" s="225"/>
      <c r="G230" s="64"/>
      <c r="H230" s="64"/>
      <c r="I230" s="208"/>
      <c r="J230" s="64"/>
      <c r="K230" s="208"/>
      <c r="L230" s="3"/>
      <c r="M230" s="87" t="s">
        <v>340</v>
      </c>
      <c r="N230" s="3">
        <f t="shared" si="51"/>
        <v>17745</v>
      </c>
      <c r="O230" s="128">
        <f>Q230+S230+U230+W230</f>
        <v>17745</v>
      </c>
      <c r="P230" s="3">
        <v>12472.9</v>
      </c>
      <c r="Q230" s="3">
        <v>12472.9</v>
      </c>
      <c r="R230" s="3">
        <v>5094.6000000000004</v>
      </c>
      <c r="S230" s="3">
        <v>5094.6000000000004</v>
      </c>
      <c r="T230" s="3"/>
      <c r="U230" s="3"/>
      <c r="V230" s="3">
        <v>177.5</v>
      </c>
      <c r="W230" s="3">
        <v>177.5</v>
      </c>
      <c r="X230" s="3">
        <f>Y230+Z230+AA230+AB230</f>
        <v>0</v>
      </c>
      <c r="Y230" s="3">
        <v>0</v>
      </c>
      <c r="Z230" s="3">
        <v>0</v>
      </c>
      <c r="AA230" s="3"/>
      <c r="AB230" s="3">
        <v>0</v>
      </c>
      <c r="AC230" s="3">
        <f>AD230+AE230+AF230+AG230</f>
        <v>16127</v>
      </c>
      <c r="AD230" s="3">
        <v>9514.9</v>
      </c>
      <c r="AE230" s="3">
        <v>6612.1</v>
      </c>
      <c r="AF230" s="3"/>
      <c r="AG230" s="3">
        <v>0</v>
      </c>
      <c r="AH230" s="3">
        <f>AI230+AJ230+AK230+AL230</f>
        <v>0</v>
      </c>
      <c r="AI230" s="3">
        <v>0</v>
      </c>
      <c r="AJ230" s="3">
        <v>0</v>
      </c>
      <c r="AK230" s="3"/>
      <c r="AL230" s="3">
        <v>0</v>
      </c>
      <c r="AM230" s="3">
        <f>AN230+AO230+AP230+AQ230</f>
        <v>0</v>
      </c>
      <c r="AN230" s="3">
        <v>0</v>
      </c>
      <c r="AO230" s="3">
        <v>0</v>
      </c>
      <c r="AP230" s="3"/>
      <c r="AQ230" s="3">
        <v>0</v>
      </c>
    </row>
    <row r="231" spans="1:43" ht="35.450000000000003" customHeight="1" thickBot="1">
      <c r="A231" s="72" t="s">
        <v>310</v>
      </c>
      <c r="B231" s="80"/>
      <c r="C231" s="64"/>
      <c r="D231" s="64"/>
      <c r="E231" s="64"/>
      <c r="F231" s="225"/>
      <c r="G231" s="64"/>
      <c r="H231" s="64"/>
      <c r="I231" s="208"/>
      <c r="J231" s="64"/>
      <c r="K231" s="208"/>
      <c r="L231" s="3"/>
      <c r="M231" s="87" t="s">
        <v>341</v>
      </c>
      <c r="N231" s="3">
        <f t="shared" si="51"/>
        <v>2389.4</v>
      </c>
      <c r="O231" s="128">
        <f t="shared" si="51"/>
        <v>2389.4</v>
      </c>
      <c r="P231" s="3"/>
      <c r="Q231" s="3"/>
      <c r="R231" s="3">
        <v>2389.4</v>
      </c>
      <c r="S231" s="3">
        <v>2389.4</v>
      </c>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row>
    <row r="232" spans="1:43" ht="35.450000000000003" customHeight="1" thickBot="1">
      <c r="A232" s="72" t="s">
        <v>310</v>
      </c>
      <c r="B232" s="80"/>
      <c r="C232" s="64"/>
      <c r="D232" s="64"/>
      <c r="E232" s="64"/>
      <c r="F232" s="225"/>
      <c r="G232" s="64"/>
      <c r="H232" s="64"/>
      <c r="I232" s="64"/>
      <c r="J232" s="64"/>
      <c r="K232" s="208"/>
      <c r="L232" s="3"/>
      <c r="M232" s="87" t="s">
        <v>342</v>
      </c>
      <c r="N232" s="3">
        <f t="shared" si="51"/>
        <v>0</v>
      </c>
      <c r="O232" s="128">
        <f t="shared" si="51"/>
        <v>0</v>
      </c>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row>
    <row r="233" spans="1:43" ht="35.450000000000003" customHeight="1" thickBot="1">
      <c r="A233" s="72" t="s">
        <v>310</v>
      </c>
      <c r="B233" s="80"/>
      <c r="C233" s="64"/>
      <c r="D233" s="64"/>
      <c r="E233" s="64"/>
      <c r="F233" s="225"/>
      <c r="G233" s="64"/>
      <c r="H233" s="64"/>
      <c r="I233" s="64"/>
      <c r="J233" s="64"/>
      <c r="K233" s="208"/>
      <c r="L233" s="3"/>
      <c r="M233" s="87" t="s">
        <v>343</v>
      </c>
      <c r="N233" s="3">
        <f t="shared" si="51"/>
        <v>596</v>
      </c>
      <c r="O233" s="128">
        <f t="shared" si="51"/>
        <v>596</v>
      </c>
      <c r="P233" s="3"/>
      <c r="Q233" s="3"/>
      <c r="R233" s="3">
        <v>596</v>
      </c>
      <c r="S233" s="3">
        <v>596</v>
      </c>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row>
    <row r="234" spans="1:43" ht="35.450000000000003" customHeight="1" thickBot="1">
      <c r="A234" s="72" t="s">
        <v>310</v>
      </c>
      <c r="B234" s="80"/>
      <c r="C234" s="64"/>
      <c r="D234" s="64"/>
      <c r="E234" s="64"/>
      <c r="F234" s="225"/>
      <c r="G234" s="64"/>
      <c r="H234" s="64"/>
      <c r="I234" s="64"/>
      <c r="J234" s="64"/>
      <c r="K234" s="208"/>
      <c r="L234" s="3"/>
      <c r="M234" s="87" t="s">
        <v>344</v>
      </c>
      <c r="N234" s="3"/>
      <c r="O234" s="128">
        <f t="shared" ref="O234:O284" si="56">Q234+S234+U234+W234</f>
        <v>0</v>
      </c>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row>
    <row r="235" spans="1:43" ht="35.450000000000003" customHeight="1" thickBot="1">
      <c r="A235" s="72" t="s">
        <v>310</v>
      </c>
      <c r="B235" s="80"/>
      <c r="C235" s="64"/>
      <c r="D235" s="64"/>
      <c r="E235" s="64"/>
      <c r="F235" s="225"/>
      <c r="G235" s="64"/>
      <c r="H235" s="64"/>
      <c r="I235" s="64"/>
      <c r="J235" s="64"/>
      <c r="K235" s="208"/>
      <c r="L235" s="3"/>
      <c r="M235" s="87" t="s">
        <v>345</v>
      </c>
      <c r="N235" s="3"/>
      <c r="O235" s="128">
        <f t="shared" si="56"/>
        <v>0</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row>
    <row r="236" spans="1:43" ht="35.450000000000003" customHeight="1" thickBot="1">
      <c r="A236" s="72" t="s">
        <v>310</v>
      </c>
      <c r="B236" s="80"/>
      <c r="C236" s="210"/>
      <c r="D236" s="64"/>
      <c r="E236" s="64"/>
      <c r="F236" s="139"/>
      <c r="G236" s="64"/>
      <c r="H236" s="64"/>
      <c r="I236" s="4"/>
      <c r="J236" s="64"/>
      <c r="K236" s="210"/>
      <c r="L236" s="3"/>
      <c r="M236" s="87" t="s">
        <v>346</v>
      </c>
      <c r="N236" s="3">
        <f>P236+R236+T236+V236</f>
        <v>0</v>
      </c>
      <c r="O236" s="128">
        <f t="shared" si="56"/>
        <v>0</v>
      </c>
      <c r="P236" s="3"/>
      <c r="Q236" s="3"/>
      <c r="R236" s="3"/>
      <c r="S236" s="3"/>
      <c r="T236" s="3"/>
      <c r="U236" s="3"/>
      <c r="V236" s="3"/>
      <c r="W236" s="3"/>
      <c r="X236" s="3">
        <f>Y236+Z236+AA236+AB236</f>
        <v>0</v>
      </c>
      <c r="Y236" s="3"/>
      <c r="Z236" s="3"/>
      <c r="AA236" s="3"/>
      <c r="AB236" s="3"/>
      <c r="AC236" s="3">
        <f>AD236+AE236+AF236+AG236</f>
        <v>0</v>
      </c>
      <c r="AD236" s="3"/>
      <c r="AE236" s="3"/>
      <c r="AF236" s="3"/>
      <c r="AG236" s="3"/>
      <c r="AH236" s="3">
        <f t="shared" ref="AH236:AH266" si="57">AI236+AJ236+AK236+AL236</f>
        <v>0</v>
      </c>
      <c r="AI236" s="3"/>
      <c r="AJ236" s="3"/>
      <c r="AK236" s="3"/>
      <c r="AL236" s="3"/>
      <c r="AM236" s="3">
        <f t="shared" ref="AM236:AM246" si="58">AN236+AO236+AP236+AQ236</f>
        <v>0</v>
      </c>
      <c r="AN236" s="3"/>
      <c r="AO236" s="3"/>
      <c r="AP236" s="3"/>
      <c r="AQ236" s="3"/>
    </row>
    <row r="237" spans="1:43" ht="35.450000000000003" customHeight="1" thickBot="1">
      <c r="A237" s="72" t="s">
        <v>310</v>
      </c>
      <c r="B237" s="80"/>
      <c r="C237" s="226"/>
      <c r="D237" s="226"/>
      <c r="E237" s="226"/>
      <c r="F237" s="91"/>
      <c r="G237" s="226"/>
      <c r="H237" s="226"/>
      <c r="I237" s="226"/>
      <c r="J237" s="227"/>
      <c r="K237" s="227"/>
      <c r="L237" s="3"/>
      <c r="M237" s="87" t="s">
        <v>350</v>
      </c>
      <c r="N237" s="3">
        <f>P237+R237+T237+V237</f>
        <v>0</v>
      </c>
      <c r="O237" s="128">
        <f t="shared" si="56"/>
        <v>0</v>
      </c>
      <c r="P237" s="3"/>
      <c r="Q237" s="3"/>
      <c r="R237" s="3">
        <v>0</v>
      </c>
      <c r="S237" s="3"/>
      <c r="T237" s="3"/>
      <c r="U237" s="3"/>
      <c r="V237" s="3"/>
      <c r="W237" s="3"/>
      <c r="X237" s="3">
        <f>Y237+Z237+AA237+AB237</f>
        <v>0</v>
      </c>
      <c r="Y237" s="3"/>
      <c r="Z237" s="3">
        <v>0</v>
      </c>
      <c r="AA237" s="3"/>
      <c r="AB237" s="3"/>
      <c r="AC237" s="3">
        <f>AD237+AE237+AF237+AG237</f>
        <v>0</v>
      </c>
      <c r="AD237" s="3"/>
      <c r="AE237" s="3">
        <v>0</v>
      </c>
      <c r="AF237" s="3"/>
      <c r="AG237" s="3"/>
      <c r="AH237" s="3">
        <f t="shared" si="57"/>
        <v>0</v>
      </c>
      <c r="AI237" s="3"/>
      <c r="AJ237" s="3">
        <v>0</v>
      </c>
      <c r="AK237" s="3"/>
      <c r="AL237" s="3"/>
      <c r="AM237" s="3">
        <f t="shared" si="58"/>
        <v>0</v>
      </c>
      <c r="AN237" s="3"/>
      <c r="AO237" s="3">
        <v>0</v>
      </c>
      <c r="AP237" s="3"/>
      <c r="AQ237" s="3"/>
    </row>
    <row r="238" spans="1:43" ht="35.450000000000003" customHeight="1" thickBot="1">
      <c r="A238" s="72" t="s">
        <v>310</v>
      </c>
      <c r="B238" s="80"/>
      <c r="C238" s="226"/>
      <c r="D238" s="226"/>
      <c r="E238" s="226"/>
      <c r="F238" s="87"/>
      <c r="G238" s="226"/>
      <c r="H238" s="226"/>
      <c r="I238" s="226"/>
      <c r="J238" s="226"/>
      <c r="K238" s="227"/>
      <c r="L238" s="3"/>
      <c r="M238" s="87" t="s">
        <v>351</v>
      </c>
      <c r="N238" s="3">
        <f>P238+R238+T238+V238</f>
        <v>0</v>
      </c>
      <c r="O238" s="128">
        <f t="shared" si="56"/>
        <v>0</v>
      </c>
      <c r="P238" s="3">
        <v>0</v>
      </c>
      <c r="Q238" s="3"/>
      <c r="R238" s="3">
        <v>0</v>
      </c>
      <c r="S238" s="3"/>
      <c r="T238" s="3"/>
      <c r="U238" s="3"/>
      <c r="V238" s="3"/>
      <c r="W238" s="3"/>
      <c r="X238" s="3">
        <f>Y238+Z238+AA238+AB238</f>
        <v>0</v>
      </c>
      <c r="Y238" s="3">
        <v>0</v>
      </c>
      <c r="Z238" s="3">
        <v>0</v>
      </c>
      <c r="AA238" s="3"/>
      <c r="AB238" s="3"/>
      <c r="AC238" s="3">
        <f>AD238+AE238+AF238+AG238</f>
        <v>0</v>
      </c>
      <c r="AD238" s="3">
        <v>0</v>
      </c>
      <c r="AE238" s="3">
        <v>0</v>
      </c>
      <c r="AF238" s="3"/>
      <c r="AG238" s="3"/>
      <c r="AH238" s="3">
        <f t="shared" si="57"/>
        <v>0</v>
      </c>
      <c r="AI238" s="3">
        <v>0</v>
      </c>
      <c r="AJ238" s="3">
        <v>0</v>
      </c>
      <c r="AK238" s="3"/>
      <c r="AL238" s="3"/>
      <c r="AM238" s="3">
        <f t="shared" si="58"/>
        <v>0</v>
      </c>
      <c r="AN238" s="3">
        <v>0</v>
      </c>
      <c r="AO238" s="3">
        <v>0</v>
      </c>
      <c r="AP238" s="3"/>
      <c r="AQ238" s="3"/>
    </row>
    <row r="239" spans="1:43" ht="35.450000000000003" customHeight="1" thickBot="1">
      <c r="A239" s="72" t="s">
        <v>310</v>
      </c>
      <c r="B239" s="80"/>
      <c r="C239" s="226"/>
      <c r="D239" s="226"/>
      <c r="E239" s="226"/>
      <c r="F239" s="91"/>
      <c r="G239" s="226"/>
      <c r="H239" s="226"/>
      <c r="I239" s="226"/>
      <c r="J239" s="227"/>
      <c r="K239" s="227"/>
      <c r="L239" s="3"/>
      <c r="M239" s="87" t="s">
        <v>352</v>
      </c>
      <c r="N239" s="3">
        <f>P239+R239+T239+V239</f>
        <v>4500</v>
      </c>
      <c r="O239" s="128">
        <f t="shared" si="56"/>
        <v>4464</v>
      </c>
      <c r="P239" s="3"/>
      <c r="Q239" s="3"/>
      <c r="R239" s="3">
        <v>4500</v>
      </c>
      <c r="S239" s="3">
        <v>4464</v>
      </c>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row>
    <row r="240" spans="1:43" ht="35.450000000000003" customHeight="1" thickBot="1">
      <c r="A240" s="72" t="s">
        <v>310</v>
      </c>
      <c r="B240" s="80"/>
      <c r="C240" s="226"/>
      <c r="D240" s="226"/>
      <c r="E240" s="226"/>
      <c r="F240" s="91"/>
      <c r="G240" s="226"/>
      <c r="H240" s="226"/>
      <c r="I240" s="226"/>
      <c r="J240" s="227"/>
      <c r="K240" s="227"/>
      <c r="L240" s="3"/>
      <c r="M240" s="87" t="s">
        <v>353</v>
      </c>
      <c r="N240" s="3"/>
      <c r="O240" s="128">
        <f t="shared" si="56"/>
        <v>0</v>
      </c>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row>
    <row r="241" spans="1:43" ht="35.450000000000003" customHeight="1" thickBot="1">
      <c r="A241" s="72" t="s">
        <v>269</v>
      </c>
      <c r="B241" s="80"/>
      <c r="C241" s="208"/>
      <c r="D241" s="64"/>
      <c r="E241" s="64"/>
      <c r="F241" s="208"/>
      <c r="G241" s="64"/>
      <c r="H241" s="64"/>
      <c r="I241" s="4"/>
      <c r="J241" s="64"/>
      <c r="K241" s="208"/>
      <c r="L241" s="3"/>
      <c r="M241" s="87" t="s">
        <v>354</v>
      </c>
      <c r="N241" s="3">
        <f>P241+R241+T241+V241</f>
        <v>0</v>
      </c>
      <c r="O241" s="128">
        <f t="shared" si="56"/>
        <v>0</v>
      </c>
      <c r="P241" s="3"/>
      <c r="Q241" s="3"/>
      <c r="R241" s="3"/>
      <c r="S241" s="3"/>
      <c r="T241" s="3"/>
      <c r="U241" s="3"/>
      <c r="V241" s="3"/>
      <c r="W241" s="3"/>
      <c r="X241" s="3">
        <f>Y241+Z241+AA241+AB241</f>
        <v>0</v>
      </c>
      <c r="Y241" s="3"/>
      <c r="Z241" s="3"/>
      <c r="AA241" s="3"/>
      <c r="AB241" s="3"/>
      <c r="AC241" s="3">
        <f>AD241+AE241+AF241+AG241</f>
        <v>0</v>
      </c>
      <c r="AD241" s="3"/>
      <c r="AE241" s="3"/>
      <c r="AF241" s="3"/>
      <c r="AG241" s="3"/>
      <c r="AH241" s="3">
        <f t="shared" si="57"/>
        <v>0</v>
      </c>
      <c r="AI241" s="3"/>
      <c r="AJ241" s="3"/>
      <c r="AK241" s="3"/>
      <c r="AL241" s="3"/>
      <c r="AM241" s="3">
        <f t="shared" si="58"/>
        <v>0</v>
      </c>
      <c r="AN241" s="3"/>
      <c r="AO241" s="3"/>
      <c r="AP241" s="3"/>
      <c r="AQ241" s="3"/>
    </row>
    <row r="242" spans="1:43" ht="35.450000000000003" customHeight="1" thickBot="1">
      <c r="A242" s="72" t="s">
        <v>269</v>
      </c>
      <c r="B242" s="80"/>
      <c r="C242" s="208"/>
      <c r="D242" s="64"/>
      <c r="E242" s="64"/>
      <c r="F242" s="208"/>
      <c r="G242" s="64"/>
      <c r="H242" s="64"/>
      <c r="I242" s="4"/>
      <c r="J242" s="64"/>
      <c r="K242" s="208"/>
      <c r="L242" s="3"/>
      <c r="M242" s="87" t="s">
        <v>355</v>
      </c>
      <c r="N242" s="3"/>
      <c r="O242" s="128">
        <f t="shared" si="56"/>
        <v>0</v>
      </c>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row>
    <row r="243" spans="1:43" ht="35.450000000000003" customHeight="1" thickBot="1">
      <c r="A243" s="72" t="s">
        <v>310</v>
      </c>
      <c r="B243" s="80"/>
      <c r="C243" s="64"/>
      <c r="D243" s="64"/>
      <c r="E243" s="64"/>
      <c r="F243" s="64"/>
      <c r="G243" s="64"/>
      <c r="H243" s="64"/>
      <c r="I243" s="208"/>
      <c r="J243" s="64"/>
      <c r="K243" s="208"/>
      <c r="L243" s="3"/>
      <c r="M243" s="87" t="s">
        <v>356</v>
      </c>
      <c r="N243" s="3">
        <f>P243+R243+T243+V243</f>
        <v>0</v>
      </c>
      <c r="O243" s="128">
        <f t="shared" si="56"/>
        <v>0</v>
      </c>
      <c r="P243" s="3"/>
      <c r="Q243" s="3"/>
      <c r="R243" s="3"/>
      <c r="S243" s="3"/>
      <c r="T243" s="3"/>
      <c r="U243" s="3"/>
      <c r="V243" s="3"/>
      <c r="W243" s="3"/>
      <c r="X243" s="3">
        <f>Y243+Z243+AA243+AB243</f>
        <v>0</v>
      </c>
      <c r="Y243" s="3"/>
      <c r="Z243" s="3"/>
      <c r="AA243" s="3"/>
      <c r="AB243" s="3"/>
      <c r="AC243" s="3">
        <f>AD243+AE243+AF243+AG243</f>
        <v>0</v>
      </c>
      <c r="AD243" s="3"/>
      <c r="AE243" s="3"/>
      <c r="AF243" s="3"/>
      <c r="AG243" s="3"/>
      <c r="AH243" s="3">
        <f t="shared" si="57"/>
        <v>0</v>
      </c>
      <c r="AI243" s="3"/>
      <c r="AJ243" s="3"/>
      <c r="AK243" s="3"/>
      <c r="AL243" s="3"/>
      <c r="AM243" s="3">
        <f t="shared" si="58"/>
        <v>0</v>
      </c>
      <c r="AN243" s="3"/>
      <c r="AO243" s="3"/>
      <c r="AP243" s="3"/>
      <c r="AQ243" s="3"/>
    </row>
    <row r="244" spans="1:43" ht="35.450000000000003" customHeight="1" thickBot="1">
      <c r="A244" s="72" t="s">
        <v>310</v>
      </c>
      <c r="B244" s="80"/>
      <c r="C244" s="64"/>
      <c r="D244" s="64"/>
      <c r="E244" s="64"/>
      <c r="F244" s="64"/>
      <c r="G244" s="64"/>
      <c r="H244" s="64"/>
      <c r="I244" s="208"/>
      <c r="J244" s="64"/>
      <c r="K244" s="208"/>
      <c r="L244" s="3"/>
      <c r="M244" s="87" t="s">
        <v>357</v>
      </c>
      <c r="N244" s="3">
        <f>P244+R244+T244+V244</f>
        <v>0</v>
      </c>
      <c r="O244" s="128">
        <f t="shared" si="56"/>
        <v>0</v>
      </c>
      <c r="P244" s="3"/>
      <c r="Q244" s="3"/>
      <c r="R244" s="3"/>
      <c r="S244" s="3"/>
      <c r="T244" s="3"/>
      <c r="U244" s="3"/>
      <c r="V244" s="3">
        <v>0</v>
      </c>
      <c r="W244" s="3"/>
      <c r="X244" s="3">
        <f>Y244+Z244+AA244+AB244</f>
        <v>0</v>
      </c>
      <c r="Y244" s="3"/>
      <c r="Z244" s="3"/>
      <c r="AA244" s="3"/>
      <c r="AB244" s="3">
        <v>0</v>
      </c>
      <c r="AC244" s="3">
        <f>AD244+AE244+AF244+AG244</f>
        <v>0</v>
      </c>
      <c r="AD244" s="3"/>
      <c r="AE244" s="3"/>
      <c r="AF244" s="3"/>
      <c r="AG244" s="3">
        <v>0</v>
      </c>
      <c r="AH244" s="3">
        <f t="shared" si="57"/>
        <v>0</v>
      </c>
      <c r="AI244" s="3"/>
      <c r="AJ244" s="3"/>
      <c r="AK244" s="3"/>
      <c r="AL244" s="3">
        <v>0</v>
      </c>
      <c r="AM244" s="3">
        <f t="shared" si="58"/>
        <v>0</v>
      </c>
      <c r="AN244" s="3"/>
      <c r="AO244" s="3"/>
      <c r="AP244" s="3"/>
      <c r="AQ244" s="3">
        <v>0</v>
      </c>
    </row>
    <row r="245" spans="1:43" ht="35.450000000000003" customHeight="1" thickBot="1">
      <c r="A245" s="72" t="s">
        <v>310</v>
      </c>
      <c r="B245" s="80"/>
      <c r="C245" s="64"/>
      <c r="D245" s="64"/>
      <c r="E245" s="64"/>
      <c r="F245" s="139"/>
      <c r="G245" s="64"/>
      <c r="H245" s="64"/>
      <c r="I245" s="228"/>
      <c r="J245" s="64"/>
      <c r="K245" s="208"/>
      <c r="L245" s="3"/>
      <c r="M245" s="87" t="s">
        <v>358</v>
      </c>
      <c r="N245" s="3">
        <f>P245+R245+T245+V245</f>
        <v>0</v>
      </c>
      <c r="O245" s="128">
        <f t="shared" si="56"/>
        <v>0</v>
      </c>
      <c r="P245" s="3"/>
      <c r="Q245" s="3"/>
      <c r="R245" s="3"/>
      <c r="S245" s="3"/>
      <c r="T245" s="3"/>
      <c r="U245" s="3"/>
      <c r="V245" s="3">
        <f>742.8-7+0.1-735.9</f>
        <v>0</v>
      </c>
      <c r="W245" s="3"/>
      <c r="X245" s="3">
        <f>Y245+Z245+AA245+AB245</f>
        <v>0</v>
      </c>
      <c r="Y245" s="3"/>
      <c r="Z245" s="3"/>
      <c r="AA245" s="3"/>
      <c r="AB245" s="3">
        <v>0</v>
      </c>
      <c r="AC245" s="3">
        <f>AD245+AE245+AF245+AG245</f>
        <v>0</v>
      </c>
      <c r="AD245" s="3"/>
      <c r="AE245" s="3"/>
      <c r="AF245" s="3"/>
      <c r="AG245" s="3">
        <v>0</v>
      </c>
      <c r="AH245" s="3">
        <f t="shared" si="57"/>
        <v>0</v>
      </c>
      <c r="AI245" s="3"/>
      <c r="AJ245" s="3"/>
      <c r="AK245" s="3"/>
      <c r="AL245" s="3">
        <v>0</v>
      </c>
      <c r="AM245" s="3">
        <f t="shared" si="58"/>
        <v>0</v>
      </c>
      <c r="AN245" s="3"/>
      <c r="AO245" s="3"/>
      <c r="AP245" s="3"/>
      <c r="AQ245" s="3">
        <v>0</v>
      </c>
    </row>
    <row r="246" spans="1:43" ht="35.450000000000003" customHeight="1" thickBot="1">
      <c r="A246" s="76" t="s">
        <v>269</v>
      </c>
      <c r="B246" s="217"/>
      <c r="C246" s="210"/>
      <c r="D246" s="64"/>
      <c r="E246" s="64"/>
      <c r="F246" s="139"/>
      <c r="G246" s="64"/>
      <c r="H246" s="64"/>
      <c r="I246" s="229"/>
      <c r="J246" s="64"/>
      <c r="K246" s="210"/>
      <c r="L246" s="5"/>
      <c r="M246" s="87" t="s">
        <v>359</v>
      </c>
      <c r="N246" s="3">
        <f>P246+R246+T246+V246</f>
        <v>0</v>
      </c>
      <c r="O246" s="128">
        <f t="shared" si="56"/>
        <v>0</v>
      </c>
      <c r="P246" s="5"/>
      <c r="Q246" s="5"/>
      <c r="R246" s="5"/>
      <c r="S246" s="5"/>
      <c r="T246" s="5"/>
      <c r="U246" s="5"/>
      <c r="V246" s="5"/>
      <c r="W246" s="5"/>
      <c r="X246" s="3">
        <f>Y246+Z246+AA246+AB246</f>
        <v>0</v>
      </c>
      <c r="Y246" s="5"/>
      <c r="Z246" s="5"/>
      <c r="AA246" s="5"/>
      <c r="AB246" s="5"/>
      <c r="AC246" s="3">
        <f>AD246+AE246+AF246+AG246</f>
        <v>0</v>
      </c>
      <c r="AD246" s="5"/>
      <c r="AE246" s="5"/>
      <c r="AF246" s="5"/>
      <c r="AG246" s="5"/>
      <c r="AH246" s="3">
        <f t="shared" si="57"/>
        <v>0</v>
      </c>
      <c r="AI246" s="5"/>
      <c r="AJ246" s="5"/>
      <c r="AK246" s="5"/>
      <c r="AL246" s="5"/>
      <c r="AM246" s="3">
        <f t="shared" si="58"/>
        <v>0</v>
      </c>
      <c r="AN246" s="5"/>
      <c r="AO246" s="5"/>
      <c r="AP246" s="5"/>
      <c r="AQ246" s="5"/>
    </row>
    <row r="247" spans="1:43" ht="35.450000000000003" customHeight="1" thickBot="1">
      <c r="A247" s="76" t="s">
        <v>269</v>
      </c>
      <c r="B247" s="217"/>
      <c r="C247" s="226"/>
      <c r="D247" s="226"/>
      <c r="E247" s="226"/>
      <c r="F247" s="91" t="s">
        <v>347</v>
      </c>
      <c r="G247" s="226" t="s">
        <v>348</v>
      </c>
      <c r="H247" s="226" t="s">
        <v>349</v>
      </c>
      <c r="I247" s="229"/>
      <c r="J247" s="64"/>
      <c r="K247" s="210"/>
      <c r="L247" s="5"/>
      <c r="M247" s="87" t="s">
        <v>360</v>
      </c>
      <c r="N247" s="3"/>
      <c r="O247" s="128">
        <f t="shared" si="56"/>
        <v>0</v>
      </c>
      <c r="P247" s="5"/>
      <c r="Q247" s="5"/>
      <c r="R247" s="5"/>
      <c r="S247" s="5"/>
      <c r="T247" s="5"/>
      <c r="U247" s="5"/>
      <c r="V247" s="5"/>
      <c r="W247" s="5"/>
      <c r="X247" s="3"/>
      <c r="Y247" s="5"/>
      <c r="Z247" s="5"/>
      <c r="AA247" s="5"/>
      <c r="AB247" s="5"/>
      <c r="AC247" s="3"/>
      <c r="AD247" s="5"/>
      <c r="AE247" s="5"/>
      <c r="AF247" s="5"/>
      <c r="AG247" s="5"/>
      <c r="AH247" s="3"/>
      <c r="AI247" s="5"/>
      <c r="AJ247" s="5"/>
      <c r="AK247" s="5"/>
      <c r="AL247" s="5"/>
      <c r="AM247" s="3"/>
      <c r="AN247" s="5"/>
      <c r="AO247" s="5"/>
      <c r="AP247" s="5"/>
      <c r="AQ247" s="5"/>
    </row>
    <row r="248" spans="1:43" ht="35.450000000000003" customHeight="1" thickBot="1">
      <c r="A248" s="76" t="s">
        <v>269</v>
      </c>
      <c r="B248" s="217"/>
      <c r="C248" s="210"/>
      <c r="D248" s="64"/>
      <c r="E248" s="64"/>
      <c r="F248" s="230" t="s">
        <v>361</v>
      </c>
      <c r="G248" s="221" t="s">
        <v>277</v>
      </c>
      <c r="H248" s="230" t="s">
        <v>362</v>
      </c>
      <c r="I248" s="210"/>
      <c r="J248" s="64"/>
      <c r="K248" s="210"/>
      <c r="L248" s="5"/>
      <c r="M248" s="87" t="s">
        <v>363</v>
      </c>
      <c r="N248" s="3">
        <f t="shared" ref="N248:N282" si="59">P248+R248+T248+V248</f>
        <v>0</v>
      </c>
      <c r="O248" s="128">
        <f t="shared" si="56"/>
        <v>0</v>
      </c>
      <c r="P248" s="5"/>
      <c r="Q248" s="5"/>
      <c r="R248" s="5"/>
      <c r="S248" s="5"/>
      <c r="T248" s="5"/>
      <c r="U248" s="5"/>
      <c r="V248" s="5"/>
      <c r="W248" s="5"/>
      <c r="X248" s="3">
        <f t="shared" ref="X248:X278" si="60">Y248+Z248+AA248+AB248</f>
        <v>0</v>
      </c>
      <c r="Y248" s="5"/>
      <c r="Z248" s="5"/>
      <c r="AA248" s="5"/>
      <c r="AB248" s="5"/>
      <c r="AC248" s="3">
        <f t="shared" ref="AC248:AC266" si="61">AD248+AE248+AF248+AG248</f>
        <v>0</v>
      </c>
      <c r="AD248" s="5"/>
      <c r="AE248" s="5"/>
      <c r="AF248" s="5"/>
      <c r="AG248" s="5"/>
      <c r="AH248" s="3">
        <f t="shared" si="57"/>
        <v>0</v>
      </c>
      <c r="AI248" s="5"/>
      <c r="AJ248" s="5"/>
      <c r="AK248" s="5"/>
      <c r="AL248" s="5"/>
      <c r="AM248" s="3">
        <f>AN248+AO248+AP248+AQ248</f>
        <v>0</v>
      </c>
      <c r="AN248" s="5"/>
      <c r="AO248" s="5"/>
      <c r="AP248" s="5"/>
      <c r="AQ248" s="5"/>
    </row>
    <row r="249" spans="1:43" ht="35.450000000000003" customHeight="1" thickBot="1">
      <c r="A249" s="76" t="s">
        <v>269</v>
      </c>
      <c r="B249" s="217"/>
      <c r="C249" s="226"/>
      <c r="D249" s="226"/>
      <c r="E249" s="226"/>
      <c r="F249" s="91"/>
      <c r="G249" s="226"/>
      <c r="H249" s="226"/>
      <c r="I249" s="210"/>
      <c r="J249" s="64"/>
      <c r="K249" s="210"/>
      <c r="L249" s="5"/>
      <c r="M249" s="87" t="s">
        <v>364</v>
      </c>
      <c r="N249" s="3">
        <f t="shared" si="59"/>
        <v>0</v>
      </c>
      <c r="O249" s="128">
        <f t="shared" si="56"/>
        <v>0</v>
      </c>
      <c r="P249" s="3"/>
      <c r="Q249" s="3"/>
      <c r="R249" s="3"/>
      <c r="S249" s="3"/>
      <c r="T249" s="3"/>
      <c r="U249" s="3"/>
      <c r="V249" s="3"/>
      <c r="W249" s="3"/>
      <c r="X249" s="3">
        <f t="shared" si="60"/>
        <v>0</v>
      </c>
      <c r="Y249" s="3"/>
      <c r="Z249" s="3"/>
      <c r="AA249" s="3"/>
      <c r="AB249" s="3"/>
      <c r="AC249" s="3">
        <f t="shared" si="61"/>
        <v>0</v>
      </c>
      <c r="AD249" s="3"/>
      <c r="AE249" s="3"/>
      <c r="AF249" s="3"/>
      <c r="AG249" s="3"/>
      <c r="AH249" s="3">
        <f t="shared" si="57"/>
        <v>0</v>
      </c>
      <c r="AI249" s="3"/>
      <c r="AJ249" s="3">
        <v>0</v>
      </c>
      <c r="AK249" s="3"/>
      <c r="AL249" s="3">
        <v>0</v>
      </c>
      <c r="AM249" s="3">
        <f>AN249+AO249+AP249+AQ249</f>
        <v>0</v>
      </c>
      <c r="AN249" s="3"/>
      <c r="AO249" s="3">
        <v>0</v>
      </c>
      <c r="AP249" s="3"/>
      <c r="AQ249" s="3">
        <v>0</v>
      </c>
    </row>
    <row r="250" spans="1:43" ht="35.450000000000003" customHeight="1" thickBot="1">
      <c r="A250" s="76" t="s">
        <v>269</v>
      </c>
      <c r="B250" s="217"/>
      <c r="C250" s="226"/>
      <c r="D250" s="226"/>
      <c r="E250" s="226"/>
      <c r="F250" s="91"/>
      <c r="G250" s="226"/>
      <c r="H250" s="226"/>
      <c r="I250" s="210"/>
      <c r="J250" s="64"/>
      <c r="K250" s="210"/>
      <c r="L250" s="5"/>
      <c r="M250" s="87" t="s">
        <v>365</v>
      </c>
      <c r="N250" s="3">
        <f t="shared" si="59"/>
        <v>0</v>
      </c>
      <c r="O250" s="128">
        <f t="shared" si="56"/>
        <v>0</v>
      </c>
      <c r="P250" s="3"/>
      <c r="Q250" s="3"/>
      <c r="R250" s="3"/>
      <c r="S250" s="3"/>
      <c r="T250" s="3"/>
      <c r="U250" s="3"/>
      <c r="V250" s="3"/>
      <c r="W250" s="3"/>
      <c r="X250" s="3">
        <f t="shared" si="60"/>
        <v>0</v>
      </c>
      <c r="Y250" s="3"/>
      <c r="Z250" s="3"/>
      <c r="AA250" s="3"/>
      <c r="AB250" s="3"/>
      <c r="AC250" s="3">
        <f t="shared" si="61"/>
        <v>0</v>
      </c>
      <c r="AD250" s="3"/>
      <c r="AE250" s="3"/>
      <c r="AF250" s="3"/>
      <c r="AG250" s="3"/>
      <c r="AH250" s="3">
        <f t="shared" si="57"/>
        <v>0</v>
      </c>
      <c r="AI250" s="3"/>
      <c r="AJ250" s="3"/>
      <c r="AK250" s="3"/>
      <c r="AL250" s="3"/>
      <c r="AM250" s="3">
        <f>AN250+AO250+AP250+AQ250</f>
        <v>0</v>
      </c>
      <c r="AN250" s="3"/>
      <c r="AO250" s="3"/>
      <c r="AP250" s="3"/>
      <c r="AQ250" s="3"/>
    </row>
    <row r="251" spans="1:43" ht="35.450000000000003" customHeight="1" thickBot="1">
      <c r="A251" s="76" t="s">
        <v>269</v>
      </c>
      <c r="B251" s="217"/>
      <c r="C251" s="230"/>
      <c r="D251" s="230"/>
      <c r="E251" s="230"/>
      <c r="F251" s="156"/>
      <c r="G251" s="222"/>
      <c r="H251" s="222"/>
      <c r="I251" s="210"/>
      <c r="J251" s="64"/>
      <c r="K251" s="210"/>
      <c r="L251" s="5"/>
      <c r="M251" s="87" t="s">
        <v>366</v>
      </c>
      <c r="N251" s="3">
        <f t="shared" si="59"/>
        <v>0</v>
      </c>
      <c r="O251" s="128">
        <f t="shared" si="56"/>
        <v>0</v>
      </c>
      <c r="P251" s="3"/>
      <c r="Q251" s="3"/>
      <c r="R251" s="3"/>
      <c r="S251" s="3"/>
      <c r="T251" s="3"/>
      <c r="U251" s="3"/>
      <c r="V251" s="3"/>
      <c r="W251" s="3"/>
      <c r="X251" s="3">
        <f t="shared" si="60"/>
        <v>0</v>
      </c>
      <c r="Y251" s="3"/>
      <c r="Z251" s="3"/>
      <c r="AA251" s="3"/>
      <c r="AB251" s="3"/>
      <c r="AC251" s="3">
        <f t="shared" si="61"/>
        <v>0</v>
      </c>
      <c r="AD251" s="3"/>
      <c r="AE251" s="3"/>
      <c r="AF251" s="3"/>
      <c r="AG251" s="3"/>
      <c r="AH251" s="3">
        <f t="shared" si="57"/>
        <v>0</v>
      </c>
      <c r="AI251" s="3"/>
      <c r="AJ251" s="3"/>
      <c r="AK251" s="3"/>
      <c r="AL251" s="3"/>
      <c r="AM251" s="3">
        <f>AN251+AO251+AP251+AQ251</f>
        <v>0</v>
      </c>
      <c r="AN251" s="3"/>
      <c r="AO251" s="3"/>
      <c r="AP251" s="3"/>
      <c r="AQ251" s="3"/>
    </row>
    <row r="252" spans="1:43" ht="35.450000000000003" customHeight="1" thickBot="1">
      <c r="A252" s="76" t="s">
        <v>269</v>
      </c>
      <c r="B252" s="217"/>
      <c r="C252" s="230"/>
      <c r="D252" s="230"/>
      <c r="E252" s="230"/>
      <c r="F252" s="195"/>
      <c r="G252" s="222"/>
      <c r="H252" s="222"/>
      <c r="I252" s="126"/>
      <c r="J252" s="126"/>
      <c r="K252" s="126"/>
      <c r="L252" s="5"/>
      <c r="M252" s="87" t="s">
        <v>367</v>
      </c>
      <c r="N252" s="3">
        <f t="shared" si="59"/>
        <v>0</v>
      </c>
      <c r="O252" s="128">
        <f t="shared" si="56"/>
        <v>0</v>
      </c>
      <c r="P252" s="3">
        <f>96.7-96.7</f>
        <v>0</v>
      </c>
      <c r="Q252" s="3"/>
      <c r="R252" s="3"/>
      <c r="S252" s="3"/>
      <c r="T252" s="3"/>
      <c r="U252" s="3"/>
      <c r="V252" s="3"/>
      <c r="W252" s="3"/>
      <c r="X252" s="3">
        <f t="shared" si="60"/>
        <v>0</v>
      </c>
      <c r="Y252" s="3">
        <f>96.7-96.7</f>
        <v>0</v>
      </c>
      <c r="Z252" s="3"/>
      <c r="AA252" s="3"/>
      <c r="AB252" s="3"/>
      <c r="AC252" s="3">
        <f t="shared" si="61"/>
        <v>0</v>
      </c>
      <c r="AD252" s="3">
        <f>96.7-96.7</f>
        <v>0</v>
      </c>
      <c r="AE252" s="3"/>
      <c r="AF252" s="3"/>
      <c r="AG252" s="3"/>
      <c r="AH252" s="3">
        <f t="shared" si="57"/>
        <v>0</v>
      </c>
      <c r="AI252" s="3">
        <f>96.7-96.7</f>
        <v>0</v>
      </c>
      <c r="AJ252" s="3"/>
      <c r="AK252" s="3"/>
      <c r="AL252" s="3"/>
      <c r="AM252" s="3">
        <f>AN252+AO252+AP252+AQ252</f>
        <v>0</v>
      </c>
      <c r="AN252" s="3">
        <f>96.7-96.7</f>
        <v>0</v>
      </c>
      <c r="AO252" s="3"/>
      <c r="AP252" s="3"/>
      <c r="AQ252" s="3"/>
    </row>
    <row r="253" spans="1:43" ht="35.450000000000003" customHeight="1" thickBot="1">
      <c r="A253" s="76" t="s">
        <v>269</v>
      </c>
      <c r="B253" s="217"/>
      <c r="C253" s="230"/>
      <c r="D253" s="230"/>
      <c r="E253" s="230"/>
      <c r="F253" s="195"/>
      <c r="G253" s="222"/>
      <c r="H253" s="222"/>
      <c r="I253" s="126"/>
      <c r="J253" s="126"/>
      <c r="K253" s="126"/>
      <c r="L253" s="5"/>
      <c r="M253" s="87" t="s">
        <v>368</v>
      </c>
      <c r="N253" s="3">
        <f t="shared" si="59"/>
        <v>0</v>
      </c>
      <c r="O253" s="128">
        <f t="shared" si="56"/>
        <v>0</v>
      </c>
      <c r="P253" s="3"/>
      <c r="Q253" s="3"/>
      <c r="R253" s="3"/>
      <c r="S253" s="3"/>
      <c r="T253" s="3"/>
      <c r="U253" s="3"/>
      <c r="V253" s="3"/>
      <c r="W253" s="3"/>
      <c r="X253" s="3">
        <f t="shared" si="60"/>
        <v>0</v>
      </c>
      <c r="Y253" s="3"/>
      <c r="Z253" s="3"/>
      <c r="AA253" s="3"/>
      <c r="AB253" s="3"/>
      <c r="AC253" s="3">
        <f t="shared" si="61"/>
        <v>0</v>
      </c>
      <c r="AD253" s="3"/>
      <c r="AE253" s="3"/>
      <c r="AF253" s="3"/>
      <c r="AG253" s="3"/>
      <c r="AH253" s="3">
        <f t="shared" si="57"/>
        <v>0</v>
      </c>
      <c r="AI253" s="3">
        <v>0</v>
      </c>
      <c r="AJ253" s="3">
        <v>0</v>
      </c>
      <c r="AK253" s="3"/>
      <c r="AL253" s="3">
        <v>0</v>
      </c>
      <c r="AM253" s="3">
        <f t="shared" ref="AM253:AM266" si="62">AN253+AO253+AP253+AQ253</f>
        <v>0</v>
      </c>
      <c r="AN253" s="3">
        <v>0</v>
      </c>
      <c r="AO253" s="3">
        <v>0</v>
      </c>
      <c r="AP253" s="3"/>
      <c r="AQ253" s="3">
        <v>0</v>
      </c>
    </row>
    <row r="254" spans="1:43" ht="35.450000000000003" customHeight="1" thickBot="1">
      <c r="A254" s="76" t="s">
        <v>269</v>
      </c>
      <c r="B254" s="217"/>
      <c r="C254" s="230"/>
      <c r="D254" s="230"/>
      <c r="E254" s="230"/>
      <c r="F254" s="195"/>
      <c r="G254" s="222"/>
      <c r="H254" s="222"/>
      <c r="I254" s="126"/>
      <c r="J254" s="128"/>
      <c r="K254" s="126"/>
      <c r="L254" s="5"/>
      <c r="M254" s="87" t="s">
        <v>369</v>
      </c>
      <c r="N254" s="3">
        <f t="shared" si="59"/>
        <v>2059.3000000000002</v>
      </c>
      <c r="O254" s="128">
        <f t="shared" si="56"/>
        <v>2059.1999999999998</v>
      </c>
      <c r="P254" s="3">
        <f>1812.4+1.3+0.1</f>
        <v>1813.8</v>
      </c>
      <c r="Q254" s="3">
        <v>1813.7</v>
      </c>
      <c r="R254" s="3">
        <f>95.5+187.5-37.5</f>
        <v>245.5</v>
      </c>
      <c r="S254" s="3">
        <v>245.5</v>
      </c>
      <c r="T254" s="3"/>
      <c r="U254" s="3"/>
      <c r="V254" s="3"/>
      <c r="W254" s="3"/>
      <c r="X254" s="3">
        <f t="shared" si="60"/>
        <v>1553.8</v>
      </c>
      <c r="Y254" s="3">
        <f>1799-338.4</f>
        <v>1460.6</v>
      </c>
      <c r="Z254" s="3">
        <f>114.8-21.6</f>
        <v>93.199999999999989</v>
      </c>
      <c r="AA254" s="3"/>
      <c r="AB254" s="3"/>
      <c r="AC254" s="3">
        <f t="shared" si="61"/>
        <v>1942.8999999999999</v>
      </c>
      <c r="AD254" s="3">
        <v>1748.6</v>
      </c>
      <c r="AE254" s="3">
        <v>194.3</v>
      </c>
      <c r="AF254" s="3"/>
      <c r="AG254" s="3"/>
      <c r="AH254" s="3">
        <f t="shared" si="57"/>
        <v>1978</v>
      </c>
      <c r="AI254" s="3">
        <v>1701.1</v>
      </c>
      <c r="AJ254" s="3">
        <v>276.89999999999998</v>
      </c>
      <c r="AK254" s="3"/>
      <c r="AL254" s="3"/>
      <c r="AM254" s="3">
        <f t="shared" si="62"/>
        <v>1978</v>
      </c>
      <c r="AN254" s="3">
        <v>1701.1</v>
      </c>
      <c r="AO254" s="3">
        <v>276.89999999999998</v>
      </c>
      <c r="AP254" s="3"/>
      <c r="AQ254" s="3"/>
    </row>
    <row r="255" spans="1:43" ht="35.450000000000003" customHeight="1" thickBot="1">
      <c r="A255" s="76" t="s">
        <v>269</v>
      </c>
      <c r="B255" s="217"/>
      <c r="C255" s="230"/>
      <c r="D255" s="230"/>
      <c r="E255" s="230"/>
      <c r="F255" s="230" t="s">
        <v>370</v>
      </c>
      <c r="G255" s="221" t="s">
        <v>277</v>
      </c>
      <c r="H255" s="222"/>
      <c r="I255" s="126"/>
      <c r="J255" s="126"/>
      <c r="K255" s="126"/>
      <c r="L255" s="5"/>
      <c r="M255" s="87" t="s">
        <v>371</v>
      </c>
      <c r="N255" s="3">
        <f t="shared" si="59"/>
        <v>381.8</v>
      </c>
      <c r="O255" s="128">
        <f t="shared" si="56"/>
        <v>381.8</v>
      </c>
      <c r="P255" s="3">
        <f>362.5+0.2</f>
        <v>362.7</v>
      </c>
      <c r="Q255" s="3">
        <v>362.7</v>
      </c>
      <c r="R255" s="3">
        <f>19.1+37.5-37.5</f>
        <v>19.100000000000001</v>
      </c>
      <c r="S255" s="3">
        <v>19.100000000000001</v>
      </c>
      <c r="T255" s="3"/>
      <c r="U255" s="3"/>
      <c r="V255" s="3"/>
      <c r="W255" s="3"/>
      <c r="X255" s="3">
        <f t="shared" si="60"/>
        <v>382.8</v>
      </c>
      <c r="Y255" s="3">
        <v>359.8</v>
      </c>
      <c r="Z255" s="3">
        <v>23</v>
      </c>
      <c r="AA255" s="3"/>
      <c r="AB255" s="3"/>
      <c r="AC255" s="3">
        <f t="shared" si="61"/>
        <v>388.59999999999997</v>
      </c>
      <c r="AD255" s="3">
        <v>349.7</v>
      </c>
      <c r="AE255" s="3">
        <v>38.9</v>
      </c>
      <c r="AF255" s="3"/>
      <c r="AG255" s="3"/>
      <c r="AH255" s="3">
        <f t="shared" si="57"/>
        <v>395.59999999999997</v>
      </c>
      <c r="AI255" s="3">
        <v>340.2</v>
      </c>
      <c r="AJ255" s="3">
        <v>55.4</v>
      </c>
      <c r="AK255" s="3"/>
      <c r="AL255" s="3"/>
      <c r="AM255" s="3">
        <f t="shared" si="62"/>
        <v>395.59999999999997</v>
      </c>
      <c r="AN255" s="3">
        <v>340.2</v>
      </c>
      <c r="AO255" s="3">
        <v>55.4</v>
      </c>
      <c r="AP255" s="3"/>
      <c r="AQ255" s="3"/>
    </row>
    <row r="256" spans="1:43" ht="35.450000000000003" customHeight="1" thickBot="1">
      <c r="A256" s="76"/>
      <c r="B256" s="217"/>
      <c r="C256" s="230"/>
      <c r="D256" s="230"/>
      <c r="E256" s="230"/>
      <c r="F256" s="231"/>
      <c r="G256" s="221"/>
      <c r="H256" s="222"/>
      <c r="I256" s="126"/>
      <c r="J256" s="126"/>
      <c r="K256" s="126"/>
      <c r="L256" s="5"/>
      <c r="M256" s="87" t="s">
        <v>372</v>
      </c>
      <c r="N256" s="3"/>
      <c r="O256" s="128"/>
      <c r="P256" s="3"/>
      <c r="Q256" s="3"/>
      <c r="R256" s="3"/>
      <c r="S256" s="3"/>
      <c r="T256" s="3"/>
      <c r="U256" s="3"/>
      <c r="V256" s="3"/>
      <c r="W256" s="3"/>
      <c r="X256" s="3">
        <f t="shared" si="60"/>
        <v>360.00000000000006</v>
      </c>
      <c r="Y256" s="3">
        <f>286.3+52.1</f>
        <v>338.40000000000003</v>
      </c>
      <c r="Z256" s="3">
        <f>18.3+3.3</f>
        <v>21.6</v>
      </c>
      <c r="AA256" s="3"/>
      <c r="AB256" s="3"/>
      <c r="AC256" s="3"/>
      <c r="AD256" s="3"/>
      <c r="AE256" s="3"/>
      <c r="AF256" s="3"/>
      <c r="AG256" s="3"/>
      <c r="AH256" s="3"/>
      <c r="AI256" s="3"/>
      <c r="AJ256" s="3"/>
      <c r="AK256" s="3"/>
      <c r="AL256" s="3"/>
      <c r="AM256" s="3"/>
      <c r="AN256" s="3"/>
      <c r="AO256" s="3"/>
      <c r="AP256" s="3"/>
      <c r="AQ256" s="3"/>
    </row>
    <row r="257" spans="1:43" ht="35.450000000000003" customHeight="1" thickBot="1">
      <c r="A257" s="76" t="s">
        <v>269</v>
      </c>
      <c r="B257" s="217"/>
      <c r="C257" s="230"/>
      <c r="D257" s="230"/>
      <c r="E257" s="230"/>
      <c r="F257" s="195"/>
      <c r="G257" s="222"/>
      <c r="H257" s="222"/>
      <c r="I257" s="232" t="s">
        <v>1254</v>
      </c>
      <c r="J257" s="64" t="s">
        <v>277</v>
      </c>
      <c r="K257" s="126"/>
      <c r="L257" s="5"/>
      <c r="M257" s="87" t="s">
        <v>373</v>
      </c>
      <c r="N257" s="3"/>
      <c r="O257" s="128"/>
      <c r="P257" s="3"/>
      <c r="Q257" s="3"/>
      <c r="R257" s="3"/>
      <c r="S257" s="3"/>
      <c r="T257" s="3"/>
      <c r="U257" s="3"/>
      <c r="V257" s="3"/>
      <c r="W257" s="3"/>
      <c r="X257" s="3">
        <f t="shared" si="60"/>
        <v>306.59999999999997</v>
      </c>
      <c r="Y257" s="3">
        <v>288.2</v>
      </c>
      <c r="Z257" s="3">
        <v>18.399999999999999</v>
      </c>
      <c r="AA257" s="3"/>
      <c r="AB257" s="3"/>
      <c r="AC257" s="3"/>
      <c r="AD257" s="3"/>
      <c r="AE257" s="3"/>
      <c r="AF257" s="3"/>
      <c r="AG257" s="3"/>
      <c r="AH257" s="3"/>
      <c r="AI257" s="3"/>
      <c r="AJ257" s="3"/>
      <c r="AK257" s="3"/>
      <c r="AL257" s="3"/>
      <c r="AM257" s="3"/>
      <c r="AN257" s="3"/>
      <c r="AO257" s="3"/>
      <c r="AP257" s="3"/>
      <c r="AQ257" s="3"/>
    </row>
    <row r="258" spans="1:43" ht="35.450000000000003" customHeight="1" thickBot="1">
      <c r="A258" s="72" t="s">
        <v>310</v>
      </c>
      <c r="B258" s="80"/>
      <c r="C258" s="64"/>
      <c r="D258" s="64"/>
      <c r="E258" s="64"/>
      <c r="F258" s="64"/>
      <c r="G258" s="64"/>
      <c r="H258" s="64"/>
      <c r="I258" s="208"/>
      <c r="J258" s="64"/>
      <c r="K258" s="208"/>
      <c r="L258" s="3"/>
      <c r="M258" s="87" t="s">
        <v>374</v>
      </c>
      <c r="N258" s="3">
        <f t="shared" si="59"/>
        <v>6010.6</v>
      </c>
      <c r="O258" s="128">
        <f t="shared" si="56"/>
        <v>5923.3</v>
      </c>
      <c r="P258" s="3"/>
      <c r="Q258" s="3"/>
      <c r="R258" s="3"/>
      <c r="S258" s="3"/>
      <c r="T258" s="3"/>
      <c r="U258" s="3"/>
      <c r="V258" s="3">
        <f>5062.4-50-63.9+220+48.4+390.6+326.6+76.5</f>
        <v>6010.6</v>
      </c>
      <c r="W258" s="3">
        <v>5923.3</v>
      </c>
      <c r="X258" s="3">
        <f t="shared" si="60"/>
        <v>7266.1</v>
      </c>
      <c r="Y258" s="3"/>
      <c r="Z258" s="3"/>
      <c r="AA258" s="3"/>
      <c r="AB258" s="3">
        <f>6775.5+150+42+565.1+94-210.5-150</f>
        <v>7266.1</v>
      </c>
      <c r="AC258" s="3">
        <f t="shared" si="61"/>
        <v>6702.1</v>
      </c>
      <c r="AD258" s="3"/>
      <c r="AE258" s="3"/>
      <c r="AF258" s="3"/>
      <c r="AG258" s="3">
        <f>8805.1-2103.1+0.1</f>
        <v>6702.1</v>
      </c>
      <c r="AH258" s="3">
        <f t="shared" si="57"/>
        <v>6655.9</v>
      </c>
      <c r="AI258" s="3"/>
      <c r="AJ258" s="3"/>
      <c r="AK258" s="3"/>
      <c r="AL258" s="3">
        <f>8759-2103.1</f>
        <v>6655.9</v>
      </c>
      <c r="AM258" s="3">
        <f t="shared" si="62"/>
        <v>6655.9</v>
      </c>
      <c r="AN258" s="3"/>
      <c r="AO258" s="3"/>
      <c r="AP258" s="3"/>
      <c r="AQ258" s="3">
        <f>8759-2103.1</f>
        <v>6655.9</v>
      </c>
    </row>
    <row r="259" spans="1:43" ht="35.450000000000003" customHeight="1" thickBot="1">
      <c r="A259" s="72" t="s">
        <v>310</v>
      </c>
      <c r="B259" s="80"/>
      <c r="C259" s="64"/>
      <c r="D259" s="64"/>
      <c r="E259" s="64"/>
      <c r="F259" s="64"/>
      <c r="G259" s="64"/>
      <c r="H259" s="64"/>
      <c r="I259" s="233" t="s">
        <v>1255</v>
      </c>
      <c r="J259" s="64" t="s">
        <v>277</v>
      </c>
      <c r="K259" s="208"/>
      <c r="L259" s="3"/>
      <c r="M259" s="87" t="s">
        <v>375</v>
      </c>
      <c r="N259" s="3">
        <f t="shared" si="59"/>
        <v>6576.2999999999993</v>
      </c>
      <c r="O259" s="128">
        <f t="shared" si="56"/>
        <v>6567.7</v>
      </c>
      <c r="P259" s="3"/>
      <c r="Q259" s="3"/>
      <c r="R259" s="3"/>
      <c r="S259" s="3"/>
      <c r="T259" s="3"/>
      <c r="U259" s="3"/>
      <c r="V259" s="3">
        <f>702.6+344.6+726+22.3+48.4+846.9+512.7+124.3+306+306.1+460+46-30.3+581.5+1579.2</f>
        <v>6576.2999999999993</v>
      </c>
      <c r="W259" s="3">
        <v>6567.7</v>
      </c>
      <c r="X259" s="3">
        <f t="shared" si="60"/>
        <v>10875.6</v>
      </c>
      <c r="Y259" s="3"/>
      <c r="Z259" s="3"/>
      <c r="AA259" s="3"/>
      <c r="AB259" s="3">
        <f>25+746.4+2092.5+192.1+3687+259.5+100+189.5+550+70+350+0.1+8.5+1427.4+977+200.6</f>
        <v>10875.6</v>
      </c>
      <c r="AC259" s="3">
        <f t="shared" si="61"/>
        <v>1253.5999999999999</v>
      </c>
      <c r="AD259" s="3"/>
      <c r="AE259" s="3"/>
      <c r="AF259" s="3"/>
      <c r="AG259" s="3">
        <f>4262.2-3008.6</f>
        <v>1253.5999999999999</v>
      </c>
      <c r="AH259" s="3">
        <f t="shared" si="57"/>
        <v>25</v>
      </c>
      <c r="AI259" s="3"/>
      <c r="AJ259" s="3"/>
      <c r="AK259" s="3"/>
      <c r="AL259" s="3">
        <f>19480.8-19455.8</f>
        <v>25</v>
      </c>
      <c r="AM259" s="3">
        <f t="shared" si="62"/>
        <v>25</v>
      </c>
      <c r="AN259" s="3"/>
      <c r="AO259" s="3"/>
      <c r="AP259" s="3"/>
      <c r="AQ259" s="3">
        <f>19480.8-19455.8</f>
        <v>25</v>
      </c>
    </row>
    <row r="260" spans="1:43" ht="35.450000000000003" customHeight="1" thickBot="1">
      <c r="A260" s="72" t="s">
        <v>310</v>
      </c>
      <c r="B260" s="80"/>
      <c r="C260" s="64"/>
      <c r="D260" s="64"/>
      <c r="E260" s="64"/>
      <c r="F260" s="64"/>
      <c r="G260" s="64"/>
      <c r="H260" s="64"/>
      <c r="I260" s="208"/>
      <c r="J260" s="64"/>
      <c r="K260" s="208"/>
      <c r="L260" s="3"/>
      <c r="M260" s="87" t="s">
        <v>376</v>
      </c>
      <c r="N260" s="3">
        <f t="shared" si="59"/>
        <v>4517</v>
      </c>
      <c r="O260" s="128">
        <f t="shared" si="56"/>
        <v>2963.3</v>
      </c>
      <c r="P260" s="3"/>
      <c r="Q260" s="3"/>
      <c r="R260" s="3"/>
      <c r="S260" s="3"/>
      <c r="T260" s="3"/>
      <c r="U260" s="3"/>
      <c r="V260" s="3">
        <f>763+404.5+887.8+88+70+418.9+104.9+6.6+162.5+1610.9-0.1</f>
        <v>4517</v>
      </c>
      <c r="W260" s="3">
        <v>2963.3</v>
      </c>
      <c r="X260" s="3">
        <f t="shared" si="60"/>
        <v>2634.3</v>
      </c>
      <c r="Y260" s="3"/>
      <c r="Z260" s="3"/>
      <c r="AA260" s="3"/>
      <c r="AB260" s="3">
        <f>1571.1+7772.5-7772.5+57.8+56+150+361.3+131.9+306.2</f>
        <v>2634.3</v>
      </c>
      <c r="AC260" s="3">
        <f t="shared" si="61"/>
        <v>1571.1</v>
      </c>
      <c r="AD260" s="3"/>
      <c r="AE260" s="3"/>
      <c r="AF260" s="3"/>
      <c r="AG260" s="3">
        <f>3927.4-2356.3</f>
        <v>1571.1</v>
      </c>
      <c r="AH260" s="3">
        <f t="shared" si="57"/>
        <v>1571.1000000000004</v>
      </c>
      <c r="AI260" s="3"/>
      <c r="AJ260" s="3"/>
      <c r="AK260" s="3"/>
      <c r="AL260" s="3">
        <f>5597.3-4026.2</f>
        <v>1571.1000000000004</v>
      </c>
      <c r="AM260" s="3">
        <f t="shared" si="62"/>
        <v>1571.1000000000004</v>
      </c>
      <c r="AN260" s="3"/>
      <c r="AO260" s="3"/>
      <c r="AP260" s="3"/>
      <c r="AQ260" s="3">
        <f>5597.3-4026.2</f>
        <v>1571.1000000000004</v>
      </c>
    </row>
    <row r="261" spans="1:43" ht="35.450000000000003" customHeight="1" thickBot="1">
      <c r="A261" s="72" t="s">
        <v>310</v>
      </c>
      <c r="B261" s="80"/>
      <c r="C261" s="64"/>
      <c r="D261" s="64"/>
      <c r="E261" s="64"/>
      <c r="F261" s="64"/>
      <c r="G261" s="64"/>
      <c r="H261" s="64"/>
      <c r="I261" s="208"/>
      <c r="J261" s="64"/>
      <c r="K261" s="208"/>
      <c r="L261" s="3"/>
      <c r="M261" s="87" t="s">
        <v>377</v>
      </c>
      <c r="N261" s="3">
        <f t="shared" si="59"/>
        <v>0</v>
      </c>
      <c r="O261" s="128">
        <f t="shared" si="56"/>
        <v>0</v>
      </c>
      <c r="P261" s="3"/>
      <c r="Q261" s="3"/>
      <c r="R261" s="3"/>
      <c r="S261" s="3"/>
      <c r="T261" s="3"/>
      <c r="U261" s="3"/>
      <c r="V261" s="3">
        <v>0</v>
      </c>
      <c r="W261" s="3"/>
      <c r="X261" s="3">
        <f t="shared" si="60"/>
        <v>0</v>
      </c>
      <c r="Y261" s="3"/>
      <c r="Z261" s="3"/>
      <c r="AA261" s="3"/>
      <c r="AB261" s="3">
        <v>0</v>
      </c>
      <c r="AC261" s="3">
        <f t="shared" si="61"/>
        <v>0</v>
      </c>
      <c r="AD261" s="3"/>
      <c r="AE261" s="3"/>
      <c r="AF261" s="3"/>
      <c r="AG261" s="3">
        <v>0</v>
      </c>
      <c r="AH261" s="3">
        <f t="shared" si="57"/>
        <v>0</v>
      </c>
      <c r="AI261" s="3"/>
      <c r="AJ261" s="3"/>
      <c r="AK261" s="3"/>
      <c r="AL261" s="3">
        <v>0</v>
      </c>
      <c r="AM261" s="3">
        <f t="shared" si="62"/>
        <v>0</v>
      </c>
      <c r="AN261" s="3"/>
      <c r="AO261" s="3"/>
      <c r="AP261" s="3"/>
      <c r="AQ261" s="3">
        <v>0</v>
      </c>
    </row>
    <row r="262" spans="1:43" ht="35.450000000000003" customHeight="1" thickBot="1">
      <c r="A262" s="72" t="s">
        <v>310</v>
      </c>
      <c r="B262" s="80"/>
      <c r="C262" s="64"/>
      <c r="D262" s="64"/>
      <c r="E262" s="64"/>
      <c r="F262" s="64"/>
      <c r="G262" s="64"/>
      <c r="H262" s="64"/>
      <c r="I262" s="208"/>
      <c r="J262" s="64"/>
      <c r="K262" s="208"/>
      <c r="L262" s="3"/>
      <c r="M262" s="87" t="s">
        <v>378</v>
      </c>
      <c r="N262" s="3">
        <f t="shared" si="59"/>
        <v>12885.999999999998</v>
      </c>
      <c r="O262" s="128">
        <f t="shared" si="56"/>
        <v>12743.7</v>
      </c>
      <c r="P262" s="3"/>
      <c r="Q262" s="3"/>
      <c r="R262" s="3"/>
      <c r="S262" s="3"/>
      <c r="T262" s="3"/>
      <c r="U262" s="3"/>
      <c r="V262" s="3">
        <f>13723.3+542.4+440.1-16.3+147.5+30.3-326.6-75.6-1579.1</f>
        <v>12885.999999999998</v>
      </c>
      <c r="W262" s="3">
        <v>12743.7</v>
      </c>
      <c r="X262" s="3">
        <f t="shared" si="60"/>
        <v>14733.7</v>
      </c>
      <c r="Y262" s="3"/>
      <c r="Z262" s="3"/>
      <c r="AA262" s="3"/>
      <c r="AB262" s="3">
        <f>13653.4+77.1+194.6+182.2+362.2+1569.4-94+210.5-362.2-1165.5+106</f>
        <v>14733.7</v>
      </c>
      <c r="AC262" s="3">
        <f t="shared" si="61"/>
        <v>15756.5</v>
      </c>
      <c r="AD262" s="3"/>
      <c r="AE262" s="3"/>
      <c r="AF262" s="3"/>
      <c r="AG262" s="3">
        <f>13653.4+2103.1</f>
        <v>15756.5</v>
      </c>
      <c r="AH262" s="3">
        <f t="shared" si="57"/>
        <v>15756.5</v>
      </c>
      <c r="AI262" s="3"/>
      <c r="AJ262" s="3"/>
      <c r="AK262" s="3"/>
      <c r="AL262" s="3">
        <f>13653.4+2103.1</f>
        <v>15756.5</v>
      </c>
      <c r="AM262" s="3">
        <f t="shared" si="62"/>
        <v>15756.5</v>
      </c>
      <c r="AN262" s="3"/>
      <c r="AO262" s="3"/>
      <c r="AP262" s="3"/>
      <c r="AQ262" s="3">
        <f>13653.4+2103.1</f>
        <v>15756.5</v>
      </c>
    </row>
    <row r="263" spans="1:43" ht="35.450000000000003" customHeight="1" thickBot="1">
      <c r="A263" s="72" t="s">
        <v>310</v>
      </c>
      <c r="B263" s="80"/>
      <c r="C263" s="64"/>
      <c r="D263" s="64"/>
      <c r="E263" s="64"/>
      <c r="F263" s="64"/>
      <c r="G263" s="64"/>
      <c r="H263" s="64"/>
      <c r="I263" s="208"/>
      <c r="J263" s="64"/>
      <c r="K263" s="208"/>
      <c r="L263" s="3"/>
      <c r="M263" s="87" t="s">
        <v>379</v>
      </c>
      <c r="N263" s="3">
        <f t="shared" si="59"/>
        <v>6802.7</v>
      </c>
      <c r="O263" s="128">
        <f t="shared" si="56"/>
        <v>6802.7</v>
      </c>
      <c r="P263" s="3"/>
      <c r="Q263" s="3"/>
      <c r="R263" s="3"/>
      <c r="S263" s="3"/>
      <c r="T263" s="3"/>
      <c r="U263" s="3"/>
      <c r="V263" s="3">
        <f>5896.8+268+504.2+100.3+40-6.6</f>
        <v>6802.7</v>
      </c>
      <c r="W263" s="3">
        <v>6802.7</v>
      </c>
      <c r="X263" s="3">
        <f t="shared" si="60"/>
        <v>6890.4</v>
      </c>
      <c r="Y263" s="3"/>
      <c r="Z263" s="3"/>
      <c r="AA263" s="3"/>
      <c r="AB263" s="3">
        <f>6187.2+341+362.2</f>
        <v>6890.4</v>
      </c>
      <c r="AC263" s="3">
        <f t="shared" si="61"/>
        <v>6871.4</v>
      </c>
      <c r="AD263" s="3"/>
      <c r="AE263" s="3"/>
      <c r="AF263" s="3"/>
      <c r="AG263" s="3">
        <v>6871.4</v>
      </c>
      <c r="AH263" s="3">
        <f t="shared" si="57"/>
        <v>6871.4</v>
      </c>
      <c r="AI263" s="3"/>
      <c r="AJ263" s="3"/>
      <c r="AK263" s="3"/>
      <c r="AL263" s="3">
        <v>6871.4</v>
      </c>
      <c r="AM263" s="3">
        <f t="shared" si="62"/>
        <v>6871.4</v>
      </c>
      <c r="AN263" s="3"/>
      <c r="AO263" s="3"/>
      <c r="AP263" s="3"/>
      <c r="AQ263" s="3">
        <v>6871.4</v>
      </c>
    </row>
    <row r="264" spans="1:43" ht="35.450000000000003" customHeight="1" thickBot="1">
      <c r="A264" s="72" t="s">
        <v>310</v>
      </c>
      <c r="B264" s="80"/>
      <c r="C264" s="64"/>
      <c r="D264" s="64"/>
      <c r="E264" s="64"/>
      <c r="F264" s="64"/>
      <c r="G264" s="64"/>
      <c r="H264" s="64"/>
      <c r="I264" s="208"/>
      <c r="J264" s="64"/>
      <c r="K264" s="208"/>
      <c r="L264" s="3"/>
      <c r="M264" s="87" t="s">
        <v>380</v>
      </c>
      <c r="N264" s="3">
        <f t="shared" si="59"/>
        <v>34599.599999999999</v>
      </c>
      <c r="O264" s="128">
        <f t="shared" si="56"/>
        <v>34543</v>
      </c>
      <c r="P264" s="3"/>
      <c r="Q264" s="3"/>
      <c r="R264" s="3">
        <v>5152.1000000000004</v>
      </c>
      <c r="S264" s="3">
        <v>5152.1000000000004</v>
      </c>
      <c r="T264" s="3"/>
      <c r="U264" s="3"/>
      <c r="V264" s="3">
        <f>27294.3+6180.6+0.1+1048.9+75.7-5152.1</f>
        <v>29447.5</v>
      </c>
      <c r="W264" s="3">
        <f>34543-5152.1</f>
        <v>29390.9</v>
      </c>
      <c r="X264" s="3">
        <f t="shared" si="60"/>
        <v>40712.699999999997</v>
      </c>
      <c r="Y264" s="3"/>
      <c r="Z264" s="3"/>
      <c r="AA264" s="3"/>
      <c r="AB264" s="3">
        <f>34732.1+3899.7+820.7-565.1+577.3+0.1+1247.9</f>
        <v>40712.699999999997</v>
      </c>
      <c r="AC264" s="3">
        <f t="shared" si="61"/>
        <v>35765.4</v>
      </c>
      <c r="AD264" s="3"/>
      <c r="AE264" s="3"/>
      <c r="AF264" s="3"/>
      <c r="AG264" s="3">
        <v>35765.4</v>
      </c>
      <c r="AH264" s="3">
        <f t="shared" si="57"/>
        <v>35765.4</v>
      </c>
      <c r="AI264" s="3"/>
      <c r="AJ264" s="3"/>
      <c r="AK264" s="3"/>
      <c r="AL264" s="3">
        <v>35765.4</v>
      </c>
      <c r="AM264" s="3">
        <f t="shared" si="62"/>
        <v>35765.4</v>
      </c>
      <c r="AN264" s="3"/>
      <c r="AO264" s="3"/>
      <c r="AP264" s="3"/>
      <c r="AQ264" s="3">
        <v>35765.4</v>
      </c>
    </row>
    <row r="265" spans="1:43" ht="35.450000000000003" customHeight="1" thickBot="1">
      <c r="A265" s="72" t="s">
        <v>310</v>
      </c>
      <c r="B265" s="80"/>
      <c r="C265" s="64"/>
      <c r="D265" s="64"/>
      <c r="E265" s="64"/>
      <c r="F265" s="64"/>
      <c r="G265" s="64"/>
      <c r="H265" s="64"/>
      <c r="I265" s="64" t="s">
        <v>1256</v>
      </c>
      <c r="J265" s="64" t="s">
        <v>277</v>
      </c>
      <c r="K265" s="208"/>
      <c r="L265" s="3"/>
      <c r="M265" s="87" t="s">
        <v>381</v>
      </c>
      <c r="N265" s="3">
        <f t="shared" si="59"/>
        <v>8668.4000000000015</v>
      </c>
      <c r="O265" s="128">
        <f t="shared" si="56"/>
        <v>8668.4</v>
      </c>
      <c r="P265" s="3"/>
      <c r="Q265" s="3"/>
      <c r="R265" s="3">
        <v>1169.9000000000001</v>
      </c>
      <c r="S265" s="3">
        <v>1169.9000000000001</v>
      </c>
      <c r="T265" s="3"/>
      <c r="U265" s="3"/>
      <c r="V265" s="3">
        <f>7573.1+1221.7-418.9+292.5-1169.9</f>
        <v>7498.5000000000018</v>
      </c>
      <c r="W265" s="3">
        <f>8668.4-1169.9</f>
        <v>7498.5</v>
      </c>
      <c r="X265" s="3">
        <f t="shared" si="60"/>
        <v>9672.2999999999993</v>
      </c>
      <c r="Y265" s="3"/>
      <c r="Z265" s="3"/>
      <c r="AA265" s="3"/>
      <c r="AB265" s="3">
        <f>8671+719.9+41.4+240</f>
        <v>9672.2999999999993</v>
      </c>
      <c r="AC265" s="3">
        <f t="shared" si="61"/>
        <v>8671</v>
      </c>
      <c r="AD265" s="3"/>
      <c r="AE265" s="3"/>
      <c r="AF265" s="3"/>
      <c r="AG265" s="3">
        <v>8671</v>
      </c>
      <c r="AH265" s="3">
        <f t="shared" si="57"/>
        <v>8671</v>
      </c>
      <c r="AI265" s="3"/>
      <c r="AJ265" s="3"/>
      <c r="AK265" s="3"/>
      <c r="AL265" s="3">
        <v>8671</v>
      </c>
      <c r="AM265" s="3">
        <f t="shared" si="62"/>
        <v>8671</v>
      </c>
      <c r="AN265" s="3"/>
      <c r="AO265" s="3"/>
      <c r="AP265" s="3"/>
      <c r="AQ265" s="3">
        <v>8671</v>
      </c>
    </row>
    <row r="266" spans="1:43" ht="35.450000000000003" customHeight="1" thickBot="1">
      <c r="A266" s="72" t="s">
        <v>310</v>
      </c>
      <c r="B266" s="80"/>
      <c r="C266" s="64"/>
      <c r="D266" s="64"/>
      <c r="E266" s="64"/>
      <c r="F266" s="64"/>
      <c r="G266" s="64"/>
      <c r="H266" s="64"/>
      <c r="I266" s="208"/>
      <c r="J266" s="64"/>
      <c r="K266" s="208"/>
      <c r="L266" s="3"/>
      <c r="M266" s="87" t="s">
        <v>382</v>
      </c>
      <c r="N266" s="3">
        <f t="shared" si="59"/>
        <v>0</v>
      </c>
      <c r="O266" s="128">
        <f t="shared" si="56"/>
        <v>0</v>
      </c>
      <c r="P266" s="3"/>
      <c r="Q266" s="3"/>
      <c r="R266" s="3"/>
      <c r="S266" s="3"/>
      <c r="T266" s="3"/>
      <c r="U266" s="3"/>
      <c r="V266" s="3"/>
      <c r="W266" s="3"/>
      <c r="X266" s="3">
        <f t="shared" si="60"/>
        <v>0</v>
      </c>
      <c r="Y266" s="3"/>
      <c r="Z266" s="3"/>
      <c r="AA266" s="3"/>
      <c r="AB266" s="3">
        <f>1037.8-1037.8</f>
        <v>0</v>
      </c>
      <c r="AC266" s="3">
        <f t="shared" si="61"/>
        <v>0</v>
      </c>
      <c r="AD266" s="3"/>
      <c r="AE266" s="3"/>
      <c r="AF266" s="3"/>
      <c r="AG266" s="3"/>
      <c r="AH266" s="3">
        <f t="shared" si="57"/>
        <v>0</v>
      </c>
      <c r="AI266" s="3"/>
      <c r="AJ266" s="3"/>
      <c r="AK266" s="3"/>
      <c r="AL266" s="3"/>
      <c r="AM266" s="3">
        <f t="shared" si="62"/>
        <v>0</v>
      </c>
      <c r="AN266" s="3"/>
      <c r="AO266" s="3"/>
      <c r="AP266" s="3"/>
      <c r="AQ266" s="3"/>
    </row>
    <row r="267" spans="1:43" ht="35.450000000000003" customHeight="1" thickBot="1">
      <c r="A267" s="72" t="s">
        <v>310</v>
      </c>
      <c r="B267" s="80"/>
      <c r="C267" s="64"/>
      <c r="D267" s="64"/>
      <c r="E267" s="64"/>
      <c r="F267" s="139"/>
      <c r="G267" s="64"/>
      <c r="H267" s="64"/>
      <c r="I267" s="208"/>
      <c r="J267" s="64"/>
      <c r="K267" s="208"/>
      <c r="L267" s="3"/>
      <c r="M267" s="87" t="s">
        <v>383</v>
      </c>
      <c r="N267" s="3">
        <f t="shared" si="59"/>
        <v>7816.9</v>
      </c>
      <c r="O267" s="128">
        <f t="shared" si="56"/>
        <v>7816.9</v>
      </c>
      <c r="P267" s="3"/>
      <c r="Q267" s="3"/>
      <c r="R267" s="3">
        <v>7816.9</v>
      </c>
      <c r="S267" s="3">
        <v>7816.9</v>
      </c>
      <c r="T267" s="3"/>
      <c r="U267" s="3"/>
      <c r="V267" s="3">
        <f>8555.5-738.6-7816.9</f>
        <v>0</v>
      </c>
      <c r="W267" s="3">
        <f>7816.9-7816.9</f>
        <v>0</v>
      </c>
      <c r="X267" s="3">
        <f t="shared" si="60"/>
        <v>0</v>
      </c>
      <c r="Y267" s="3"/>
      <c r="Z267" s="3"/>
      <c r="AA267" s="3"/>
      <c r="AB267" s="3"/>
      <c r="AC267" s="3"/>
      <c r="AD267" s="3"/>
      <c r="AE267" s="3"/>
      <c r="AF267" s="3"/>
      <c r="AG267" s="3"/>
      <c r="AH267" s="3"/>
      <c r="AI267" s="3"/>
      <c r="AJ267" s="3"/>
      <c r="AK267" s="3"/>
      <c r="AL267" s="3"/>
      <c r="AM267" s="3"/>
      <c r="AN267" s="3"/>
      <c r="AO267" s="3"/>
      <c r="AP267" s="3"/>
      <c r="AQ267" s="3"/>
    </row>
    <row r="268" spans="1:43" ht="35.450000000000003" customHeight="1" thickBot="1">
      <c r="A268" s="72" t="s">
        <v>310</v>
      </c>
      <c r="B268" s="80"/>
      <c r="C268" s="64"/>
      <c r="D268" s="64"/>
      <c r="E268" s="64"/>
      <c r="F268" s="139"/>
      <c r="G268" s="64"/>
      <c r="H268" s="64"/>
      <c r="I268" s="208"/>
      <c r="J268" s="64"/>
      <c r="K268" s="208"/>
      <c r="L268" s="3"/>
      <c r="M268" s="87" t="s">
        <v>384</v>
      </c>
      <c r="N268" s="3">
        <f t="shared" si="59"/>
        <v>6586.6</v>
      </c>
      <c r="O268" s="128">
        <f t="shared" si="56"/>
        <v>6586.6</v>
      </c>
      <c r="P268" s="3"/>
      <c r="Q268" s="3"/>
      <c r="R268" s="3">
        <v>6586.6</v>
      </c>
      <c r="S268" s="3">
        <v>6586.6</v>
      </c>
      <c r="T268" s="3"/>
      <c r="U268" s="3"/>
      <c r="V268" s="3">
        <f>8137.9-1551.3-6586.6</f>
        <v>0</v>
      </c>
      <c r="W268" s="3">
        <f>6586.6-6586.6</f>
        <v>0</v>
      </c>
      <c r="X268" s="3">
        <f t="shared" si="60"/>
        <v>0</v>
      </c>
      <c r="Y268" s="3"/>
      <c r="Z268" s="3"/>
      <c r="AA268" s="3"/>
      <c r="AB268" s="3"/>
      <c r="AC268" s="3"/>
      <c r="AD268" s="3"/>
      <c r="AE268" s="3"/>
      <c r="AF268" s="3"/>
      <c r="AG268" s="3"/>
      <c r="AH268" s="3"/>
      <c r="AI268" s="3"/>
      <c r="AJ268" s="3"/>
      <c r="AK268" s="3"/>
      <c r="AL268" s="3"/>
      <c r="AM268" s="3"/>
      <c r="AN268" s="3"/>
      <c r="AO268" s="3"/>
      <c r="AP268" s="3"/>
      <c r="AQ268" s="3"/>
    </row>
    <row r="269" spans="1:43" ht="35.450000000000003" customHeight="1" thickBot="1">
      <c r="A269" s="72" t="s">
        <v>310</v>
      </c>
      <c r="B269" s="80"/>
      <c r="C269" s="64"/>
      <c r="D269" s="64"/>
      <c r="E269" s="64"/>
      <c r="F269" s="139"/>
      <c r="G269" s="64"/>
      <c r="H269" s="64"/>
      <c r="I269" s="208"/>
      <c r="J269" s="64"/>
      <c r="K269" s="208"/>
      <c r="L269" s="3"/>
      <c r="M269" s="87" t="s">
        <v>385</v>
      </c>
      <c r="N269" s="3"/>
      <c r="O269" s="128"/>
      <c r="P269" s="3"/>
      <c r="Q269" s="3"/>
      <c r="R269" s="3"/>
      <c r="S269" s="3"/>
      <c r="T269" s="3"/>
      <c r="U269" s="3"/>
      <c r="V269" s="3"/>
      <c r="W269" s="3"/>
      <c r="X269" s="3">
        <f t="shared" si="60"/>
        <v>15067.5</v>
      </c>
      <c r="Y269" s="3"/>
      <c r="Z269" s="3"/>
      <c r="AA269" s="3"/>
      <c r="AB269" s="3">
        <f>15500+2322.5-15500+12740+5</f>
        <v>15067.5</v>
      </c>
      <c r="AC269" s="3"/>
      <c r="AD269" s="3"/>
      <c r="AE269" s="3"/>
      <c r="AF269" s="3"/>
      <c r="AG269" s="3"/>
      <c r="AH269" s="3"/>
      <c r="AI269" s="3"/>
      <c r="AJ269" s="3"/>
      <c r="AK269" s="3"/>
      <c r="AL269" s="3"/>
      <c r="AM269" s="3"/>
      <c r="AN269" s="3"/>
      <c r="AO269" s="3"/>
      <c r="AP269" s="3"/>
      <c r="AQ269" s="3"/>
    </row>
    <row r="270" spans="1:43" ht="35.450000000000003" customHeight="1" thickBot="1">
      <c r="A270" s="72" t="s">
        <v>310</v>
      </c>
      <c r="B270" s="80"/>
      <c r="C270" s="64"/>
      <c r="D270" s="64"/>
      <c r="E270" s="64"/>
      <c r="F270" s="139"/>
      <c r="G270" s="64"/>
      <c r="H270" s="64"/>
      <c r="I270" s="4"/>
      <c r="J270" s="64"/>
      <c r="K270" s="63"/>
      <c r="L270" s="3"/>
      <c r="M270" s="87" t="s">
        <v>386</v>
      </c>
      <c r="N270" s="3">
        <f t="shared" si="59"/>
        <v>0</v>
      </c>
      <c r="O270" s="128">
        <f t="shared" si="56"/>
        <v>0</v>
      </c>
      <c r="P270" s="3"/>
      <c r="Q270" s="3"/>
      <c r="R270" s="3"/>
      <c r="S270" s="3"/>
      <c r="T270" s="3"/>
      <c r="U270" s="3"/>
      <c r="V270" s="3"/>
      <c r="W270" s="3"/>
      <c r="X270" s="3">
        <f t="shared" si="60"/>
        <v>0</v>
      </c>
      <c r="Y270" s="3"/>
      <c r="Z270" s="3"/>
      <c r="AA270" s="3"/>
      <c r="AB270" s="3"/>
      <c r="AC270" s="3"/>
      <c r="AD270" s="3"/>
      <c r="AE270" s="3"/>
      <c r="AF270" s="3"/>
      <c r="AG270" s="3"/>
      <c r="AH270" s="3"/>
      <c r="AI270" s="3"/>
      <c r="AJ270" s="3"/>
      <c r="AK270" s="3"/>
      <c r="AL270" s="3"/>
      <c r="AM270" s="3"/>
      <c r="AN270" s="3"/>
      <c r="AO270" s="3"/>
      <c r="AP270" s="3"/>
      <c r="AQ270" s="3"/>
    </row>
    <row r="271" spans="1:43" ht="35.450000000000003" customHeight="1" thickBot="1">
      <c r="A271" s="72" t="s">
        <v>310</v>
      </c>
      <c r="B271" s="80"/>
      <c r="C271" s="64"/>
      <c r="D271" s="64"/>
      <c r="E271" s="64"/>
      <c r="F271" s="139"/>
      <c r="G271" s="64"/>
      <c r="H271" s="64"/>
      <c r="I271" s="4"/>
      <c r="J271" s="64"/>
      <c r="K271" s="63"/>
      <c r="L271" s="3"/>
      <c r="M271" s="87" t="s">
        <v>387</v>
      </c>
      <c r="N271" s="3">
        <f t="shared" si="59"/>
        <v>1168.5</v>
      </c>
      <c r="O271" s="128">
        <f t="shared" si="56"/>
        <v>1168.5</v>
      </c>
      <c r="P271" s="3"/>
      <c r="Q271" s="3"/>
      <c r="R271" s="3">
        <v>1168.5</v>
      </c>
      <c r="S271" s="3">
        <v>1168.5</v>
      </c>
      <c r="T271" s="3"/>
      <c r="U271" s="3"/>
      <c r="V271" s="3"/>
      <c r="W271" s="3"/>
      <c r="X271" s="3">
        <f t="shared" si="60"/>
        <v>0</v>
      </c>
      <c r="Y271" s="3"/>
      <c r="Z271" s="3"/>
      <c r="AA271" s="3"/>
      <c r="AB271" s="3"/>
      <c r="AC271" s="3"/>
      <c r="AD271" s="3"/>
      <c r="AE271" s="3"/>
      <c r="AF271" s="3"/>
      <c r="AG271" s="3"/>
      <c r="AH271" s="3"/>
      <c r="AI271" s="3"/>
      <c r="AJ271" s="3"/>
      <c r="AK271" s="3"/>
      <c r="AL271" s="3"/>
      <c r="AM271" s="3"/>
      <c r="AN271" s="3"/>
      <c r="AO271" s="3"/>
      <c r="AP271" s="3"/>
      <c r="AQ271" s="3"/>
    </row>
    <row r="272" spans="1:43" ht="35.450000000000003" customHeight="1" thickBot="1">
      <c r="A272" s="72" t="s">
        <v>310</v>
      </c>
      <c r="B272" s="80"/>
      <c r="C272" s="64"/>
      <c r="D272" s="64"/>
      <c r="E272" s="64"/>
      <c r="F272" s="139"/>
      <c r="G272" s="64"/>
      <c r="H272" s="64"/>
      <c r="I272" s="4"/>
      <c r="J272" s="64"/>
      <c r="K272" s="63"/>
      <c r="L272" s="3"/>
      <c r="M272" s="87" t="s">
        <v>388</v>
      </c>
      <c r="N272" s="3">
        <f t="shared" si="59"/>
        <v>0</v>
      </c>
      <c r="O272" s="128">
        <f t="shared" si="56"/>
        <v>0</v>
      </c>
      <c r="P272" s="3"/>
      <c r="Q272" s="3"/>
      <c r="R272" s="3"/>
      <c r="S272" s="3"/>
      <c r="T272" s="3"/>
      <c r="U272" s="3"/>
      <c r="V272" s="3"/>
      <c r="W272" s="3"/>
      <c r="X272" s="3">
        <f t="shared" si="60"/>
        <v>0</v>
      </c>
      <c r="Y272" s="3"/>
      <c r="Z272" s="3"/>
      <c r="AA272" s="3"/>
      <c r="AB272" s="3"/>
      <c r="AC272" s="3"/>
      <c r="AD272" s="3"/>
      <c r="AE272" s="3"/>
      <c r="AF272" s="3"/>
      <c r="AG272" s="3"/>
      <c r="AH272" s="3"/>
      <c r="AI272" s="3"/>
      <c r="AJ272" s="3"/>
      <c r="AK272" s="3"/>
      <c r="AL272" s="3"/>
      <c r="AM272" s="3"/>
      <c r="AN272" s="3"/>
      <c r="AO272" s="3"/>
      <c r="AP272" s="3"/>
      <c r="AQ272" s="3"/>
    </row>
    <row r="273" spans="1:43" ht="35.450000000000003" customHeight="1" thickBot="1">
      <c r="A273" s="72" t="s">
        <v>269</v>
      </c>
      <c r="B273" s="104"/>
      <c r="C273" s="210"/>
      <c r="D273" s="64"/>
      <c r="E273" s="64"/>
      <c r="F273" s="95" t="s">
        <v>389</v>
      </c>
      <c r="G273" s="139" t="s">
        <v>277</v>
      </c>
      <c r="H273" s="139" t="s">
        <v>390</v>
      </c>
      <c r="I273" s="210"/>
      <c r="J273" s="64"/>
      <c r="K273" s="210"/>
      <c r="L273" s="3"/>
      <c r="M273" s="87" t="s">
        <v>391</v>
      </c>
      <c r="N273" s="3">
        <f t="shared" si="59"/>
        <v>0</v>
      </c>
      <c r="O273" s="128">
        <f t="shared" si="56"/>
        <v>0</v>
      </c>
      <c r="P273" s="3"/>
      <c r="Q273" s="3"/>
      <c r="R273" s="3"/>
      <c r="S273" s="3"/>
      <c r="T273" s="3"/>
      <c r="U273" s="3"/>
      <c r="V273" s="3">
        <v>0</v>
      </c>
      <c r="W273" s="3"/>
      <c r="X273" s="3">
        <f t="shared" si="60"/>
        <v>0</v>
      </c>
      <c r="Y273" s="3"/>
      <c r="Z273" s="3"/>
      <c r="AA273" s="3"/>
      <c r="AB273" s="3">
        <v>0</v>
      </c>
      <c r="AC273" s="3"/>
      <c r="AD273" s="3"/>
      <c r="AE273" s="3"/>
      <c r="AF273" s="3"/>
      <c r="AG273" s="3">
        <v>0</v>
      </c>
      <c r="AH273" s="3"/>
      <c r="AI273" s="3"/>
      <c r="AJ273" s="3"/>
      <c r="AK273" s="3"/>
      <c r="AL273" s="3">
        <v>0</v>
      </c>
      <c r="AM273" s="3"/>
      <c r="AN273" s="3"/>
      <c r="AO273" s="3"/>
      <c r="AP273" s="3"/>
      <c r="AQ273" s="3">
        <v>0</v>
      </c>
    </row>
    <row r="274" spans="1:43" ht="35.450000000000003" customHeight="1" thickBot="1">
      <c r="A274" s="72" t="s">
        <v>269</v>
      </c>
      <c r="B274" s="80"/>
      <c r="C274" s="64"/>
      <c r="D274" s="64"/>
      <c r="E274" s="64"/>
      <c r="F274" s="64"/>
      <c r="G274" s="64"/>
      <c r="H274" s="64"/>
      <c r="I274" s="208"/>
      <c r="J274" s="64"/>
      <c r="K274" s="208"/>
      <c r="L274" s="3"/>
      <c r="M274" s="87" t="s">
        <v>392</v>
      </c>
      <c r="N274" s="3">
        <f t="shared" si="59"/>
        <v>0</v>
      </c>
      <c r="O274" s="128">
        <f t="shared" si="56"/>
        <v>0</v>
      </c>
      <c r="P274" s="3"/>
      <c r="Q274" s="3"/>
      <c r="R274" s="3"/>
      <c r="S274" s="3"/>
      <c r="T274" s="3"/>
      <c r="U274" s="3"/>
      <c r="V274" s="3"/>
      <c r="W274" s="3"/>
      <c r="X274" s="3">
        <f t="shared" si="60"/>
        <v>17772.5</v>
      </c>
      <c r="Y274" s="3"/>
      <c r="Z274" s="3">
        <v>10000</v>
      </c>
      <c r="AA274" s="3"/>
      <c r="AB274" s="3">
        <v>7772.5</v>
      </c>
      <c r="AC274" s="3"/>
      <c r="AD274" s="3"/>
      <c r="AE274" s="3"/>
      <c r="AF274" s="3"/>
      <c r="AG274" s="3"/>
      <c r="AH274" s="3"/>
      <c r="AI274" s="3"/>
      <c r="AJ274" s="3"/>
      <c r="AK274" s="3"/>
      <c r="AL274" s="3"/>
      <c r="AM274" s="3"/>
      <c r="AN274" s="3"/>
      <c r="AO274" s="3"/>
      <c r="AP274" s="3"/>
      <c r="AQ274" s="3"/>
    </row>
    <row r="275" spans="1:43" ht="35.450000000000003" customHeight="1" thickBot="1">
      <c r="A275" s="72" t="s">
        <v>269</v>
      </c>
      <c r="B275" s="80"/>
      <c r="C275" s="210"/>
      <c r="D275" s="64"/>
      <c r="E275" s="64"/>
      <c r="F275" s="139"/>
      <c r="G275" s="64"/>
      <c r="H275" s="64"/>
      <c r="I275" s="210"/>
      <c r="J275" s="64"/>
      <c r="K275" s="210"/>
      <c r="L275" s="3"/>
      <c r="M275" s="87" t="s">
        <v>393</v>
      </c>
      <c r="N275" s="3">
        <f t="shared" si="59"/>
        <v>0</v>
      </c>
      <c r="O275" s="128">
        <f t="shared" si="56"/>
        <v>0</v>
      </c>
      <c r="P275" s="3"/>
      <c r="Q275" s="3"/>
      <c r="R275" s="3"/>
      <c r="S275" s="3"/>
      <c r="T275" s="3"/>
      <c r="U275" s="3"/>
      <c r="V275" s="3"/>
      <c r="W275" s="3"/>
      <c r="X275" s="3">
        <f t="shared" si="60"/>
        <v>0</v>
      </c>
      <c r="Y275" s="3"/>
      <c r="Z275" s="3"/>
      <c r="AA275" s="3"/>
      <c r="AB275" s="3"/>
      <c r="AC275" s="3"/>
      <c r="AD275" s="3"/>
      <c r="AE275" s="3"/>
      <c r="AF275" s="3"/>
      <c r="AG275" s="3"/>
      <c r="AH275" s="3"/>
      <c r="AI275" s="3"/>
      <c r="AJ275" s="3"/>
      <c r="AK275" s="3"/>
      <c r="AL275" s="3"/>
      <c r="AM275" s="3"/>
      <c r="AN275" s="3"/>
      <c r="AO275" s="3"/>
      <c r="AP275" s="3"/>
      <c r="AQ275" s="3"/>
    </row>
    <row r="276" spans="1:43" ht="35.450000000000003" customHeight="1" thickBot="1">
      <c r="A276" s="72" t="s">
        <v>269</v>
      </c>
      <c r="B276" s="80"/>
      <c r="C276" s="210"/>
      <c r="D276" s="64"/>
      <c r="E276" s="64"/>
      <c r="F276" s="139"/>
      <c r="G276" s="64"/>
      <c r="H276" s="64"/>
      <c r="I276" s="210"/>
      <c r="J276" s="64"/>
      <c r="K276" s="210"/>
      <c r="L276" s="3"/>
      <c r="M276" s="87" t="s">
        <v>394</v>
      </c>
      <c r="N276" s="3">
        <f t="shared" si="59"/>
        <v>183.1</v>
      </c>
      <c r="O276" s="128">
        <f t="shared" si="56"/>
        <v>183.1</v>
      </c>
      <c r="P276" s="3"/>
      <c r="Q276" s="3"/>
      <c r="R276" s="3"/>
      <c r="S276" s="3"/>
      <c r="T276" s="3"/>
      <c r="U276" s="3"/>
      <c r="V276" s="3">
        <v>183.1</v>
      </c>
      <c r="W276" s="3">
        <v>183.1</v>
      </c>
      <c r="X276" s="3">
        <f t="shared" si="60"/>
        <v>0</v>
      </c>
      <c r="Y276" s="3"/>
      <c r="Z276" s="3"/>
      <c r="AA276" s="3"/>
      <c r="AB276" s="3"/>
      <c r="AC276" s="3"/>
      <c r="AD276" s="3"/>
      <c r="AE276" s="3"/>
      <c r="AF276" s="3"/>
      <c r="AG276" s="3"/>
      <c r="AH276" s="3"/>
      <c r="AI276" s="3"/>
      <c r="AJ276" s="3"/>
      <c r="AK276" s="3"/>
      <c r="AL276" s="3"/>
      <c r="AM276" s="3"/>
      <c r="AN276" s="3"/>
      <c r="AO276" s="3"/>
      <c r="AP276" s="3"/>
      <c r="AQ276" s="3"/>
    </row>
    <row r="277" spans="1:43" ht="35.450000000000003" customHeight="1" thickBot="1">
      <c r="A277" s="72" t="s">
        <v>269</v>
      </c>
      <c r="B277" s="80"/>
      <c r="C277" s="210"/>
      <c r="D277" s="64"/>
      <c r="E277" s="64"/>
      <c r="F277" s="139"/>
      <c r="G277" s="64"/>
      <c r="H277" s="64"/>
      <c r="I277" s="64" t="s">
        <v>1257</v>
      </c>
      <c r="J277" s="139" t="s">
        <v>277</v>
      </c>
      <c r="K277" s="210"/>
      <c r="L277" s="3"/>
      <c r="M277" s="87" t="s">
        <v>395</v>
      </c>
      <c r="N277" s="3">
        <f t="shared" si="59"/>
        <v>61.5</v>
      </c>
      <c r="O277" s="128">
        <f t="shared" si="56"/>
        <v>61.5</v>
      </c>
      <c r="P277" s="3"/>
      <c r="Q277" s="3"/>
      <c r="R277" s="3"/>
      <c r="S277" s="3"/>
      <c r="T277" s="3"/>
      <c r="U277" s="3"/>
      <c r="V277" s="3">
        <v>61.5</v>
      </c>
      <c r="W277" s="3">
        <v>61.5</v>
      </c>
      <c r="X277" s="3">
        <f t="shared" si="60"/>
        <v>1289</v>
      </c>
      <c r="Y277" s="3"/>
      <c r="Z277" s="3">
        <v>1185.9000000000001</v>
      </c>
      <c r="AA277" s="3"/>
      <c r="AB277" s="3">
        <v>103.1</v>
      </c>
      <c r="AC277" s="3"/>
      <c r="AD277" s="3"/>
      <c r="AE277" s="3"/>
      <c r="AF277" s="3"/>
      <c r="AG277" s="3"/>
      <c r="AH277" s="3"/>
      <c r="AI277" s="3"/>
      <c r="AJ277" s="3"/>
      <c r="AK277" s="3"/>
      <c r="AL277" s="3"/>
      <c r="AM277" s="3"/>
      <c r="AN277" s="3"/>
      <c r="AO277" s="3"/>
      <c r="AP277" s="3"/>
      <c r="AQ277" s="3"/>
    </row>
    <row r="278" spans="1:43" ht="35.450000000000003" customHeight="1" thickBot="1">
      <c r="A278" s="72" t="s">
        <v>269</v>
      </c>
      <c r="B278" s="80"/>
      <c r="C278" s="210"/>
      <c r="D278" s="64"/>
      <c r="E278" s="64"/>
      <c r="F278" s="139"/>
      <c r="G278" s="64"/>
      <c r="H278" s="64"/>
      <c r="I278" s="64" t="s">
        <v>1258</v>
      </c>
      <c r="J278" s="139" t="s">
        <v>277</v>
      </c>
      <c r="K278" s="210"/>
      <c r="L278" s="3"/>
      <c r="M278" s="87" t="s">
        <v>396</v>
      </c>
      <c r="N278" s="3">
        <f t="shared" si="59"/>
        <v>236.8</v>
      </c>
      <c r="O278" s="128">
        <f t="shared" si="56"/>
        <v>234.9</v>
      </c>
      <c r="P278" s="3"/>
      <c r="Q278" s="3"/>
      <c r="R278" s="3"/>
      <c r="S278" s="3"/>
      <c r="T278" s="3"/>
      <c r="U278" s="3"/>
      <c r="V278" s="3">
        <v>236.8</v>
      </c>
      <c r="W278" s="3">
        <v>234.9</v>
      </c>
      <c r="X278" s="3">
        <f t="shared" si="60"/>
        <v>5000</v>
      </c>
      <c r="Y278" s="3"/>
      <c r="Z278" s="3">
        <v>4500</v>
      </c>
      <c r="AA278" s="3"/>
      <c r="AB278" s="3">
        <f>236.8+263.2</f>
        <v>500</v>
      </c>
      <c r="AC278" s="3"/>
      <c r="AD278" s="3"/>
      <c r="AE278" s="3"/>
      <c r="AF278" s="3"/>
      <c r="AG278" s="3"/>
      <c r="AH278" s="3"/>
      <c r="AI278" s="3"/>
      <c r="AJ278" s="3"/>
      <c r="AK278" s="3"/>
      <c r="AL278" s="3"/>
      <c r="AM278" s="3"/>
      <c r="AN278" s="3"/>
      <c r="AO278" s="3"/>
      <c r="AP278" s="3"/>
      <c r="AQ278" s="3"/>
    </row>
    <row r="279" spans="1:43" ht="35.450000000000003" customHeight="1" thickBot="1">
      <c r="A279" s="72" t="s">
        <v>310</v>
      </c>
      <c r="B279" s="80"/>
      <c r="C279" s="64"/>
      <c r="D279" s="64"/>
      <c r="E279" s="64"/>
      <c r="F279" s="208"/>
      <c r="G279" s="64"/>
      <c r="H279" s="64"/>
      <c r="I279" s="208"/>
      <c r="J279" s="64"/>
      <c r="K279" s="208"/>
      <c r="L279" s="3"/>
      <c r="M279" s="87" t="s">
        <v>397</v>
      </c>
      <c r="N279" s="3">
        <f t="shared" si="59"/>
        <v>0</v>
      </c>
      <c r="O279" s="128">
        <f t="shared" si="56"/>
        <v>0</v>
      </c>
      <c r="P279" s="3"/>
      <c r="Q279" s="3"/>
      <c r="R279" s="3"/>
      <c r="S279" s="3"/>
      <c r="T279" s="3"/>
      <c r="U279" s="3"/>
      <c r="V279" s="3"/>
      <c r="W279" s="3"/>
      <c r="X279" s="3">
        <f>Y279+Z279+AA279+AB279</f>
        <v>0</v>
      </c>
      <c r="Y279" s="3"/>
      <c r="Z279" s="3"/>
      <c r="AA279" s="3"/>
      <c r="AB279" s="3">
        <v>0</v>
      </c>
      <c r="AC279" s="3">
        <f>AD279+AE279+AF279+AG279</f>
        <v>0</v>
      </c>
      <c r="AD279" s="3"/>
      <c r="AE279" s="3"/>
      <c r="AF279" s="3"/>
      <c r="AG279" s="3">
        <v>0</v>
      </c>
      <c r="AH279" s="3">
        <f>AI279+AJ279+AK279+AL279</f>
        <v>0</v>
      </c>
      <c r="AI279" s="3"/>
      <c r="AJ279" s="3"/>
      <c r="AK279" s="3"/>
      <c r="AL279" s="3"/>
      <c r="AM279" s="3">
        <f>AN279+AO279+AP279+AQ279</f>
        <v>0</v>
      </c>
      <c r="AN279" s="3"/>
      <c r="AO279" s="3"/>
      <c r="AP279" s="3"/>
      <c r="AQ279" s="3"/>
    </row>
    <row r="280" spans="1:43" ht="35.450000000000003" customHeight="1" thickBot="1">
      <c r="A280" s="72" t="s">
        <v>310</v>
      </c>
      <c r="B280" s="80"/>
      <c r="C280" s="64"/>
      <c r="D280" s="64"/>
      <c r="E280" s="64"/>
      <c r="F280" s="139"/>
      <c r="G280" s="64"/>
      <c r="H280" s="64"/>
      <c r="I280" s="210"/>
      <c r="J280" s="64"/>
      <c r="K280" s="210"/>
      <c r="L280" s="3"/>
      <c r="M280" s="87" t="s">
        <v>398</v>
      </c>
      <c r="N280" s="3">
        <f t="shared" si="59"/>
        <v>92.5</v>
      </c>
      <c r="O280" s="128">
        <f t="shared" si="56"/>
        <v>92.5</v>
      </c>
      <c r="P280" s="3"/>
      <c r="Q280" s="3"/>
      <c r="R280" s="3"/>
      <c r="S280" s="3"/>
      <c r="T280" s="3"/>
      <c r="U280" s="3"/>
      <c r="V280" s="3">
        <v>92.5</v>
      </c>
      <c r="W280" s="3">
        <v>92.5</v>
      </c>
      <c r="X280" s="3">
        <f>Y280+Z280+AA280+AB280</f>
        <v>0</v>
      </c>
      <c r="Y280" s="3"/>
      <c r="Z280" s="3"/>
      <c r="AA280" s="3"/>
      <c r="AB280" s="3"/>
      <c r="AC280" s="3">
        <f>AD280+AE280+AF280+AG280</f>
        <v>0</v>
      </c>
      <c r="AD280" s="3"/>
      <c r="AE280" s="3"/>
      <c r="AF280" s="3"/>
      <c r="AG280" s="3"/>
      <c r="AH280" s="3">
        <f>AI280+AJ280+AK280+AL280</f>
        <v>0</v>
      </c>
      <c r="AI280" s="3"/>
      <c r="AJ280" s="3"/>
      <c r="AK280" s="3"/>
      <c r="AL280" s="3">
        <v>0</v>
      </c>
      <c r="AM280" s="3">
        <f>AN280+AO280+AP280+AQ280</f>
        <v>0</v>
      </c>
      <c r="AN280" s="3"/>
      <c r="AO280" s="3"/>
      <c r="AP280" s="3"/>
      <c r="AQ280" s="3">
        <v>0</v>
      </c>
    </row>
    <row r="281" spans="1:43" ht="35.450000000000003" customHeight="1" thickBot="1">
      <c r="A281" s="72" t="s">
        <v>310</v>
      </c>
      <c r="B281" s="80"/>
      <c r="C281" s="226"/>
      <c r="D281" s="226"/>
      <c r="E281" s="226"/>
      <c r="F281" s="91"/>
      <c r="G281" s="226"/>
      <c r="H281" s="226"/>
      <c r="I281" s="208"/>
      <c r="J281" s="64"/>
      <c r="K281" s="208"/>
      <c r="L281" s="3"/>
      <c r="M281" s="87" t="s">
        <v>399</v>
      </c>
      <c r="N281" s="3">
        <f t="shared" si="59"/>
        <v>0</v>
      </c>
      <c r="O281" s="128">
        <f t="shared" si="56"/>
        <v>0</v>
      </c>
      <c r="P281" s="3"/>
      <c r="Q281" s="3"/>
      <c r="R281" s="3"/>
      <c r="S281" s="3"/>
      <c r="T281" s="3"/>
      <c r="U281" s="3"/>
      <c r="V281" s="3">
        <v>0</v>
      </c>
      <c r="W281" s="3"/>
      <c r="X281" s="3">
        <f>Y281+Z281+AA281+AB281</f>
        <v>0</v>
      </c>
      <c r="Y281" s="3"/>
      <c r="Z281" s="3"/>
      <c r="AA281" s="3"/>
      <c r="AB281" s="3">
        <v>0</v>
      </c>
      <c r="AC281" s="3">
        <f>AD281+AE281+AF281+AG281</f>
        <v>0</v>
      </c>
      <c r="AD281" s="3"/>
      <c r="AE281" s="3"/>
      <c r="AF281" s="3"/>
      <c r="AG281" s="3">
        <v>0</v>
      </c>
      <c r="AH281" s="3">
        <f>AI281+AJ281+AK281+AL281</f>
        <v>0</v>
      </c>
      <c r="AI281" s="3"/>
      <c r="AJ281" s="3"/>
      <c r="AK281" s="3"/>
      <c r="AL281" s="3">
        <v>0</v>
      </c>
      <c r="AM281" s="3">
        <f>AN281+AO281+AP281+AQ281</f>
        <v>0</v>
      </c>
      <c r="AN281" s="3"/>
      <c r="AO281" s="3"/>
      <c r="AP281" s="3"/>
      <c r="AQ281" s="3">
        <v>0</v>
      </c>
    </row>
    <row r="282" spans="1:43" ht="35.450000000000003" customHeight="1" thickBot="1">
      <c r="A282" s="72" t="s">
        <v>310</v>
      </c>
      <c r="B282" s="80"/>
      <c r="C282" s="226"/>
      <c r="D282" s="226"/>
      <c r="E282" s="226"/>
      <c r="F282" s="91"/>
      <c r="G282" s="226"/>
      <c r="H282" s="226"/>
      <c r="I282" s="208"/>
      <c r="J282" s="64"/>
      <c r="K282" s="208"/>
      <c r="L282" s="3"/>
      <c r="M282" s="87" t="s">
        <v>400</v>
      </c>
      <c r="N282" s="3">
        <f t="shared" si="59"/>
        <v>0</v>
      </c>
      <c r="O282" s="128">
        <f t="shared" si="56"/>
        <v>0</v>
      </c>
      <c r="P282" s="3"/>
      <c r="Q282" s="3"/>
      <c r="R282" s="3"/>
      <c r="S282" s="3"/>
      <c r="T282" s="3"/>
      <c r="U282" s="3"/>
      <c r="V282" s="3"/>
      <c r="W282" s="3"/>
      <c r="X282" s="3">
        <f>Y282+Z282+AA282+AB282</f>
        <v>0</v>
      </c>
      <c r="Y282" s="3"/>
      <c r="Z282" s="3"/>
      <c r="AA282" s="3"/>
      <c r="AB282" s="3"/>
      <c r="AC282" s="3">
        <f>AD282+AE282+AF282+AG282</f>
        <v>0</v>
      </c>
      <c r="AD282" s="3"/>
      <c r="AE282" s="3"/>
      <c r="AF282" s="3"/>
      <c r="AG282" s="3"/>
      <c r="AH282" s="3">
        <f>AI282+AJ282+AK282+AL282</f>
        <v>0</v>
      </c>
      <c r="AI282" s="3"/>
      <c r="AJ282" s="3"/>
      <c r="AK282" s="3"/>
      <c r="AL282" s="3"/>
      <c r="AM282" s="3">
        <f>AN282+AO282+AP282+AQ282</f>
        <v>0</v>
      </c>
      <c r="AN282" s="3"/>
      <c r="AO282" s="3"/>
      <c r="AP282" s="3"/>
      <c r="AQ282" s="3"/>
    </row>
    <row r="283" spans="1:43" ht="35.450000000000003" customHeight="1" thickBot="1">
      <c r="A283" s="72" t="s">
        <v>310</v>
      </c>
      <c r="B283" s="80"/>
      <c r="C283" s="226"/>
      <c r="D283" s="226"/>
      <c r="E283" s="226"/>
      <c r="F283" s="91"/>
      <c r="G283" s="226"/>
      <c r="H283" s="226"/>
      <c r="I283" s="228"/>
      <c r="J283" s="64"/>
      <c r="K283" s="208"/>
      <c r="L283" s="3"/>
      <c r="M283" s="87" t="s">
        <v>401</v>
      </c>
      <c r="N283" s="3"/>
      <c r="O283" s="128">
        <f t="shared" si="56"/>
        <v>0</v>
      </c>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row>
    <row r="284" spans="1:43" ht="35.450000000000003" customHeight="1" thickBot="1">
      <c r="A284" s="72" t="s">
        <v>336</v>
      </c>
      <c r="B284" s="80"/>
      <c r="C284" s="71"/>
      <c r="D284" s="3"/>
      <c r="E284" s="3"/>
      <c r="F284" s="3"/>
      <c r="G284" s="3"/>
      <c r="H284" s="3"/>
      <c r="I284" s="229"/>
      <c r="J284" s="64"/>
      <c r="K284" s="210"/>
      <c r="L284" s="3"/>
      <c r="M284" s="87" t="s">
        <v>402</v>
      </c>
      <c r="N284" s="3">
        <f>P284+R284+T284+V284</f>
        <v>0</v>
      </c>
      <c r="O284" s="128">
        <f t="shared" si="56"/>
        <v>0</v>
      </c>
      <c r="P284" s="3"/>
      <c r="Q284" s="3"/>
      <c r="R284" s="3"/>
      <c r="S284" s="3"/>
      <c r="T284" s="3"/>
      <c r="U284" s="3"/>
      <c r="V284" s="3"/>
      <c r="W284" s="3"/>
      <c r="X284" s="3">
        <f>Y284+Z284+AA284+AB284</f>
        <v>0</v>
      </c>
      <c r="Y284" s="3"/>
      <c r="Z284" s="3"/>
      <c r="AA284" s="3"/>
      <c r="AB284" s="3"/>
      <c r="AC284" s="3">
        <f>AD284+AE284+AF284+AG284</f>
        <v>0</v>
      </c>
      <c r="AD284" s="3"/>
      <c r="AE284" s="3"/>
      <c r="AF284" s="3"/>
      <c r="AG284" s="3"/>
      <c r="AH284" s="3">
        <f>AI284+AJ284+AK284+AL284</f>
        <v>0</v>
      </c>
      <c r="AI284" s="3"/>
      <c r="AJ284" s="3"/>
      <c r="AK284" s="3"/>
      <c r="AL284" s="3"/>
      <c r="AM284" s="3">
        <f>AN284+AO284+AP284+AQ284</f>
        <v>0</v>
      </c>
      <c r="AN284" s="3"/>
      <c r="AO284" s="3"/>
      <c r="AP284" s="3"/>
      <c r="AQ284" s="3"/>
    </row>
    <row r="285" spans="1:43" ht="35.450000000000003" customHeight="1" thickBot="1">
      <c r="A285" s="76" t="s">
        <v>403</v>
      </c>
      <c r="B285" s="77">
        <v>2525</v>
      </c>
      <c r="C285" s="78"/>
      <c r="D285" s="5"/>
      <c r="E285" s="5"/>
      <c r="F285" s="5"/>
      <c r="G285" s="5"/>
      <c r="H285" s="5"/>
      <c r="I285" s="5"/>
      <c r="J285" s="5"/>
      <c r="K285" s="5"/>
      <c r="L285" s="5">
        <v>6</v>
      </c>
      <c r="M285" s="5"/>
      <c r="N285" s="126">
        <f>P285+R285+T285+V285</f>
        <v>114562</v>
      </c>
      <c r="O285" s="126">
        <f>O288+O289+O291+O293+O294+O295+O296+O313+O312+O314+O318+O319+O320+O321+O301</f>
        <v>112977.9</v>
      </c>
      <c r="P285" s="126">
        <f t="shared" ref="P285:W285" si="63">P288+P289+P291+P293+P294+P295+P296+P313+P312+P314+P318+P319+P320+P321+P301</f>
        <v>0</v>
      </c>
      <c r="Q285" s="126">
        <f t="shared" si="63"/>
        <v>0</v>
      </c>
      <c r="R285" s="126">
        <f t="shared" si="63"/>
        <v>28297.3</v>
      </c>
      <c r="S285" s="126">
        <f t="shared" si="63"/>
        <v>28297.3</v>
      </c>
      <c r="T285" s="126">
        <f t="shared" si="63"/>
        <v>0</v>
      </c>
      <c r="U285" s="126">
        <f t="shared" si="63"/>
        <v>0</v>
      </c>
      <c r="V285" s="126">
        <f t="shared" si="63"/>
        <v>86264.7</v>
      </c>
      <c r="W285" s="126">
        <f t="shared" si="63"/>
        <v>84680.6</v>
      </c>
      <c r="X285" s="126">
        <f>X288+X290+X292+X294+X297+X299+X300+X303+X305+X308+X315+X318+X319+X320+X321+X322+X323+X293+X289+X291+X301+X302+X309+X304+X311+X287+X286</f>
        <v>119864.19999999998</v>
      </c>
      <c r="Y285" s="126">
        <f>Y288+Y290+Y292+Y294+Y297+Y299+Y300+Y303+Y305+Y308+Y315+Y318+Y319+Y320+Y321+Y322+Y323+Y293+Y289+Y291+Y301+Y302+Y309+Y304+Y311+Y287+Y286</f>
        <v>0</v>
      </c>
      <c r="Z285" s="126">
        <f>Z288+Z290+Z292+Z294+Z297+Z299+Z300+Z303+Z305+Z308+Z315+Z318+Z319+Z320+Z321+Z322+Z323+Z293+Z289+Z291+Z301+Z302+Z309+Z304+Z311+Z287+Z286</f>
        <v>1295.5</v>
      </c>
      <c r="AA285" s="126">
        <f>AA288+AA290+AA292+AA294+AA297+AA299+AA300+AA303+AA305+AA308+AA315+AA318+AA319+AA320+AA321+AA322+AA323+AA293+AA289+AA291+AA301+AA302+AA309+AA304+AA311+AA287+AA286</f>
        <v>0</v>
      </c>
      <c r="AB285" s="126">
        <f>AB288+AB290+AB292+AB294+AB297+AB299+AB300+AB303+AB305+AB308+AB315+AB318+AB319+AB320+AB321+AB322+AB323+AB293+AB289+AB291+AB301+AB302+AB309+AB304+AB311+AB287+AB286</f>
        <v>118568.69999999998</v>
      </c>
      <c r="AC285" s="126">
        <f t="shared" ref="AC285:AQ285" si="64">AC288+AC290+AC292+AC294+AC297+AC299+AC300+AC303+AC305+AC308+AC315+AC318+AC319+AC320+AC321+AC322+AC323+AC293+AC289+AC291+AC301+AC302+AC309+AC304</f>
        <v>94790.3</v>
      </c>
      <c r="AD285" s="126">
        <f t="shared" si="64"/>
        <v>0</v>
      </c>
      <c r="AE285" s="126">
        <f t="shared" si="64"/>
        <v>0</v>
      </c>
      <c r="AF285" s="126">
        <f t="shared" si="64"/>
        <v>0</v>
      </c>
      <c r="AG285" s="126">
        <f t="shared" si="64"/>
        <v>94790.3</v>
      </c>
      <c r="AH285" s="126">
        <f t="shared" si="64"/>
        <v>94943.2</v>
      </c>
      <c r="AI285" s="126">
        <f t="shared" si="64"/>
        <v>0</v>
      </c>
      <c r="AJ285" s="126">
        <f t="shared" si="64"/>
        <v>0</v>
      </c>
      <c r="AK285" s="126">
        <f t="shared" si="64"/>
        <v>0</v>
      </c>
      <c r="AL285" s="126">
        <f t="shared" si="64"/>
        <v>94943.2</v>
      </c>
      <c r="AM285" s="126">
        <f t="shared" si="64"/>
        <v>94943.2</v>
      </c>
      <c r="AN285" s="126">
        <f t="shared" si="64"/>
        <v>0</v>
      </c>
      <c r="AO285" s="126">
        <f t="shared" si="64"/>
        <v>0</v>
      </c>
      <c r="AP285" s="126">
        <f t="shared" si="64"/>
        <v>0</v>
      </c>
      <c r="AQ285" s="126">
        <f t="shared" si="64"/>
        <v>94943.2</v>
      </c>
    </row>
    <row r="286" spans="1:43" ht="35.450000000000003" customHeight="1" thickBot="1">
      <c r="A286" s="72" t="s">
        <v>404</v>
      </c>
      <c r="B286" s="104"/>
      <c r="C286" s="124"/>
      <c r="D286" s="158"/>
      <c r="E286" s="158"/>
      <c r="F286" s="3"/>
      <c r="G286" s="3"/>
      <c r="H286" s="3"/>
      <c r="I286" s="3"/>
      <c r="J286" s="3"/>
      <c r="K286" s="3"/>
      <c r="L286" s="3"/>
      <c r="M286" s="87" t="s">
        <v>405</v>
      </c>
      <c r="N286" s="127"/>
      <c r="O286" s="127"/>
      <c r="P286" s="127"/>
      <c r="Q286" s="127"/>
      <c r="R286" s="127"/>
      <c r="S286" s="127"/>
      <c r="T286" s="127"/>
      <c r="U286" s="127"/>
      <c r="V286" s="127"/>
      <c r="W286" s="127"/>
      <c r="X286" s="127">
        <f>Y286+Z286+AA286+AB286</f>
        <v>532</v>
      </c>
      <c r="Y286" s="127"/>
      <c r="Z286" s="127">
        <v>532</v>
      </c>
      <c r="AA286" s="127"/>
      <c r="AB286" s="127"/>
      <c r="AC286" s="127"/>
      <c r="AD286" s="127"/>
      <c r="AE286" s="127"/>
      <c r="AF286" s="127"/>
      <c r="AG286" s="127"/>
      <c r="AH286" s="127"/>
      <c r="AI286" s="127"/>
      <c r="AJ286" s="127"/>
      <c r="AK286" s="127"/>
      <c r="AL286" s="127"/>
      <c r="AM286" s="127"/>
      <c r="AN286" s="127"/>
      <c r="AO286" s="127"/>
      <c r="AP286" s="127"/>
      <c r="AQ286" s="127"/>
    </row>
    <row r="287" spans="1:43" ht="35.450000000000003" customHeight="1" thickBot="1">
      <c r="A287" s="72" t="s">
        <v>404</v>
      </c>
      <c r="B287" s="104"/>
      <c r="C287" s="124"/>
      <c r="D287" s="158"/>
      <c r="E287" s="158"/>
      <c r="F287" s="3"/>
      <c r="G287" s="3"/>
      <c r="H287" s="3"/>
      <c r="I287" s="3"/>
      <c r="J287" s="3"/>
      <c r="K287" s="3"/>
      <c r="L287" s="3"/>
      <c r="M287" s="87" t="s">
        <v>406</v>
      </c>
      <c r="N287" s="127"/>
      <c r="O287" s="127"/>
      <c r="P287" s="127"/>
      <c r="Q287" s="127"/>
      <c r="R287" s="127"/>
      <c r="S287" s="127"/>
      <c r="T287" s="127"/>
      <c r="U287" s="127"/>
      <c r="V287" s="127"/>
      <c r="W287" s="127"/>
      <c r="X287" s="127">
        <f>Y287+Z287+AA287+AB287</f>
        <v>134.4</v>
      </c>
      <c r="Y287" s="127"/>
      <c r="Z287" s="127">
        <v>127.7</v>
      </c>
      <c r="AA287" s="127"/>
      <c r="AB287" s="127">
        <v>6.7</v>
      </c>
      <c r="AC287" s="127"/>
      <c r="AD287" s="127"/>
      <c r="AE287" s="127"/>
      <c r="AF287" s="127"/>
      <c r="AG287" s="127"/>
      <c r="AH287" s="127"/>
      <c r="AI287" s="127"/>
      <c r="AJ287" s="127"/>
      <c r="AK287" s="127"/>
      <c r="AL287" s="127"/>
      <c r="AM287" s="127"/>
      <c r="AN287" s="127"/>
      <c r="AO287" s="127"/>
      <c r="AP287" s="127"/>
      <c r="AQ287" s="127"/>
    </row>
    <row r="288" spans="1:43" ht="35.450000000000003" customHeight="1" thickBot="1">
      <c r="A288" s="72" t="s">
        <v>269</v>
      </c>
      <c r="B288" s="104"/>
      <c r="C288" s="118" t="s">
        <v>191</v>
      </c>
      <c r="D288" s="118" t="s">
        <v>270</v>
      </c>
      <c r="E288" s="118" t="s">
        <v>271</v>
      </c>
      <c r="F288" s="84" t="s">
        <v>272</v>
      </c>
      <c r="G288" s="84" t="s">
        <v>19</v>
      </c>
      <c r="H288" s="84" t="s">
        <v>273</v>
      </c>
      <c r="I288" s="107" t="s">
        <v>21</v>
      </c>
      <c r="J288" s="107" t="s">
        <v>274</v>
      </c>
      <c r="K288" s="109" t="s">
        <v>23</v>
      </c>
      <c r="L288" s="3"/>
      <c r="M288" s="87" t="s">
        <v>407</v>
      </c>
      <c r="N288" s="3">
        <f t="shared" ref="N288:O303" si="65">P288+R288+T288+V288</f>
        <v>0</v>
      </c>
      <c r="O288" s="3">
        <f>Q288+S288+U288+W288</f>
        <v>0</v>
      </c>
      <c r="P288" s="3">
        <f>R288+T288+V288+EX288</f>
        <v>0</v>
      </c>
      <c r="Q288" s="3">
        <f>S288+U288+W288+EY288</f>
        <v>0</v>
      </c>
      <c r="R288" s="3">
        <f>T288+V288+EX288+EZ288</f>
        <v>0</v>
      </c>
      <c r="S288" s="3">
        <f>U288+W288+EY288+FA288</f>
        <v>0</v>
      </c>
      <c r="T288" s="3">
        <f>V288+EX288+EZ288+FB288</f>
        <v>0</v>
      </c>
      <c r="U288" s="3">
        <f>W288+EY288+FA288+IE288</f>
        <v>0</v>
      </c>
      <c r="V288" s="3">
        <f>EX288+EZ288+FB288+IF288</f>
        <v>0</v>
      </c>
      <c r="W288" s="3">
        <f>EY288+FA288+IE288+IG288</f>
        <v>0</v>
      </c>
      <c r="X288" s="3">
        <f t="shared" ref="X288:X294" si="66">Y288+Z288+AA288+AB288</f>
        <v>0</v>
      </c>
      <c r="Y288" s="3"/>
      <c r="Z288" s="3"/>
      <c r="AA288" s="3"/>
      <c r="AB288" s="3"/>
      <c r="AC288" s="3">
        <f t="shared" ref="AC288:AC294" si="67">AD288+AE288+AF288+AG288</f>
        <v>0</v>
      </c>
      <c r="AD288" s="3"/>
      <c r="AE288" s="3"/>
      <c r="AF288" s="3"/>
      <c r="AG288" s="3"/>
      <c r="AH288" s="3">
        <f t="shared" ref="AH288:AH321" si="68">AI288+AJ288+AK288+AL288</f>
        <v>0</v>
      </c>
      <c r="AI288" s="3"/>
      <c r="AJ288" s="3"/>
      <c r="AK288" s="3"/>
      <c r="AL288" s="3"/>
      <c r="AM288" s="3">
        <f>AN288+AO288+AP288+AQ288</f>
        <v>0</v>
      </c>
      <c r="AN288" s="3"/>
      <c r="AO288" s="3"/>
      <c r="AP288" s="3"/>
      <c r="AQ288" s="3"/>
    </row>
    <row r="289" spans="1:43" ht="35.450000000000003" customHeight="1" thickBot="1">
      <c r="A289" s="72" t="s">
        <v>269</v>
      </c>
      <c r="B289" s="104"/>
      <c r="C289" s="64"/>
      <c r="D289" s="64"/>
      <c r="E289" s="64"/>
      <c r="I289" s="139" t="s">
        <v>390</v>
      </c>
      <c r="J289" s="235" t="s">
        <v>290</v>
      </c>
      <c r="K289" s="208" t="s">
        <v>277</v>
      </c>
      <c r="L289" s="3"/>
      <c r="M289" s="87" t="s">
        <v>408</v>
      </c>
      <c r="N289" s="3">
        <f t="shared" si="65"/>
        <v>1835</v>
      </c>
      <c r="O289" s="3">
        <f t="shared" si="65"/>
        <v>1835</v>
      </c>
      <c r="P289" s="3"/>
      <c r="Q289" s="3"/>
      <c r="R289" s="3"/>
      <c r="S289" s="3"/>
      <c r="T289" s="3"/>
      <c r="U289" s="3"/>
      <c r="V289" s="3">
        <f>1733.6+56.4+45</f>
        <v>1835</v>
      </c>
      <c r="W289" s="3">
        <v>1835</v>
      </c>
      <c r="X289" s="3">
        <f t="shared" si="66"/>
        <v>2777.3</v>
      </c>
      <c r="Y289" s="3"/>
      <c r="Z289" s="3"/>
      <c r="AA289" s="3"/>
      <c r="AB289" s="3">
        <f>1931.6+34.4+82.4+380+34.9+253+61</f>
        <v>2777.3</v>
      </c>
      <c r="AC289" s="3">
        <f t="shared" si="67"/>
        <v>1931.6</v>
      </c>
      <c r="AD289" s="3"/>
      <c r="AE289" s="3"/>
      <c r="AF289" s="3"/>
      <c r="AG289" s="3">
        <v>1931.6</v>
      </c>
      <c r="AH289" s="3">
        <f t="shared" si="68"/>
        <v>1931.6</v>
      </c>
      <c r="AI289" s="3"/>
      <c r="AJ289" s="3"/>
      <c r="AK289" s="3"/>
      <c r="AL289" s="3">
        <v>1931.6</v>
      </c>
      <c r="AM289" s="3">
        <f t="shared" ref="AM289:AM309" si="69">AN289+AO289+AP289+AQ289</f>
        <v>1931.6</v>
      </c>
      <c r="AN289" s="3"/>
      <c r="AO289" s="3"/>
      <c r="AP289" s="3"/>
      <c r="AQ289" s="3">
        <v>1931.6</v>
      </c>
    </row>
    <row r="290" spans="1:43" ht="35.450000000000003" customHeight="1" thickBot="1">
      <c r="A290" s="72" t="s">
        <v>269</v>
      </c>
      <c r="B290" s="104"/>
      <c r="C290" s="64"/>
      <c r="D290" s="64"/>
      <c r="E290" s="64"/>
      <c r="F290" s="102" t="s">
        <v>479</v>
      </c>
      <c r="G290" s="102" t="s">
        <v>480</v>
      </c>
      <c r="H290" s="102" t="s">
        <v>481</v>
      </c>
      <c r="I290" s="209"/>
      <c r="J290" s="64"/>
      <c r="K290" s="208"/>
      <c r="L290" s="3"/>
      <c r="M290" s="87" t="s">
        <v>409</v>
      </c>
      <c r="N290" s="3">
        <f t="shared" si="65"/>
        <v>0</v>
      </c>
      <c r="O290" s="3">
        <f t="shared" si="65"/>
        <v>0</v>
      </c>
      <c r="P290" s="3"/>
      <c r="Q290" s="3"/>
      <c r="R290" s="3"/>
      <c r="S290" s="3"/>
      <c r="T290" s="3"/>
      <c r="U290" s="3"/>
      <c r="V290" s="3"/>
      <c r="W290" s="3"/>
      <c r="X290" s="3">
        <f t="shared" si="66"/>
        <v>0</v>
      </c>
      <c r="Y290" s="3"/>
      <c r="Z290" s="3"/>
      <c r="AA290" s="3"/>
      <c r="AB290" s="3"/>
      <c r="AC290" s="3">
        <f t="shared" si="67"/>
        <v>0</v>
      </c>
      <c r="AD290" s="3"/>
      <c r="AE290" s="3"/>
      <c r="AF290" s="3"/>
      <c r="AG290" s="3"/>
      <c r="AH290" s="3">
        <f t="shared" si="68"/>
        <v>0</v>
      </c>
      <c r="AI290" s="3"/>
      <c r="AJ290" s="3"/>
      <c r="AK290" s="3"/>
      <c r="AL290" s="3"/>
      <c r="AM290" s="3">
        <f t="shared" si="69"/>
        <v>0</v>
      </c>
      <c r="AN290" s="3"/>
      <c r="AO290" s="3"/>
      <c r="AP290" s="3"/>
      <c r="AQ290" s="3"/>
    </row>
    <row r="291" spans="1:43" ht="35.450000000000003" customHeight="1" thickBot="1">
      <c r="A291" s="72" t="s">
        <v>269</v>
      </c>
      <c r="B291" s="104"/>
      <c r="C291" s="224"/>
      <c r="D291" s="64"/>
      <c r="E291" s="64"/>
      <c r="F291" s="230" t="s">
        <v>1259</v>
      </c>
      <c r="G291" s="221" t="s">
        <v>277</v>
      </c>
      <c r="H291" s="64"/>
      <c r="I291" s="209"/>
      <c r="J291" s="64"/>
      <c r="K291" s="208"/>
      <c r="L291" s="3"/>
      <c r="M291" s="87" t="s">
        <v>411</v>
      </c>
      <c r="N291" s="3">
        <f t="shared" si="65"/>
        <v>3434.9</v>
      </c>
      <c r="O291" s="3">
        <f t="shared" si="65"/>
        <v>2347.6</v>
      </c>
      <c r="P291" s="3"/>
      <c r="Q291" s="3"/>
      <c r="R291" s="3"/>
      <c r="S291" s="3"/>
      <c r="T291" s="3"/>
      <c r="U291" s="3"/>
      <c r="V291" s="3">
        <f>3665.3+159-389.4</f>
        <v>3434.9</v>
      </c>
      <c r="W291" s="3">
        <v>2347.6</v>
      </c>
      <c r="X291" s="3">
        <f t="shared" si="66"/>
        <v>2278.1999999999998</v>
      </c>
      <c r="Y291" s="3"/>
      <c r="Z291" s="3"/>
      <c r="AA291" s="3"/>
      <c r="AB291" s="3">
        <f>2486.6-380-61+232.6</f>
        <v>2278.1999999999998</v>
      </c>
      <c r="AC291" s="3">
        <f t="shared" si="67"/>
        <v>2486.6</v>
      </c>
      <c r="AD291" s="3"/>
      <c r="AE291" s="3"/>
      <c r="AF291" s="3"/>
      <c r="AG291" s="3">
        <v>2486.6</v>
      </c>
      <c r="AH291" s="3">
        <f t="shared" si="68"/>
        <v>2486.6</v>
      </c>
      <c r="AI291" s="3"/>
      <c r="AJ291" s="3"/>
      <c r="AK291" s="3"/>
      <c r="AL291" s="3">
        <v>2486.6</v>
      </c>
      <c r="AM291" s="3">
        <f t="shared" si="69"/>
        <v>2486.6</v>
      </c>
      <c r="AN291" s="3"/>
      <c r="AO291" s="3"/>
      <c r="AP291" s="3"/>
      <c r="AQ291" s="3">
        <v>2486.6</v>
      </c>
    </row>
    <row r="292" spans="1:43" ht="35.450000000000003" customHeight="1" thickBot="1">
      <c r="A292" s="72" t="s">
        <v>412</v>
      </c>
      <c r="B292" s="104"/>
      <c r="F292" s="64"/>
      <c r="G292" s="64"/>
      <c r="H292" s="64"/>
      <c r="I292" s="209"/>
      <c r="J292" s="64"/>
      <c r="K292" s="208"/>
      <c r="L292" s="3"/>
      <c r="M292" s="87" t="s">
        <v>413</v>
      </c>
      <c r="N292" s="3">
        <f t="shared" si="65"/>
        <v>0</v>
      </c>
      <c r="O292" s="3">
        <f t="shared" si="65"/>
        <v>0</v>
      </c>
      <c r="P292" s="3"/>
      <c r="Q292" s="3"/>
      <c r="R292" s="3"/>
      <c r="S292" s="3"/>
      <c r="T292" s="3"/>
      <c r="U292" s="3"/>
      <c r="V292" s="3"/>
      <c r="W292" s="3"/>
      <c r="X292" s="3">
        <f t="shared" si="66"/>
        <v>767.5</v>
      </c>
      <c r="Y292" s="3"/>
      <c r="Z292" s="3"/>
      <c r="AA292" s="3"/>
      <c r="AB292" s="3">
        <f>767.4+682.1+1071.9-1753.9</f>
        <v>767.5</v>
      </c>
      <c r="AC292" s="3">
        <f t="shared" si="67"/>
        <v>0</v>
      </c>
      <c r="AD292" s="3"/>
      <c r="AE292" s="3"/>
      <c r="AF292" s="3"/>
      <c r="AG292" s="3"/>
      <c r="AH292" s="3">
        <f t="shared" si="68"/>
        <v>0</v>
      </c>
      <c r="AI292" s="3"/>
      <c r="AJ292" s="3"/>
      <c r="AK292" s="3"/>
      <c r="AL292" s="3"/>
      <c r="AM292" s="3">
        <f t="shared" si="69"/>
        <v>0</v>
      </c>
      <c r="AN292" s="3"/>
      <c r="AO292" s="3"/>
      <c r="AP292" s="3"/>
      <c r="AQ292" s="3"/>
    </row>
    <row r="293" spans="1:43" ht="35.450000000000003" customHeight="1" thickBot="1">
      <c r="A293" s="72" t="s">
        <v>412</v>
      </c>
      <c r="B293" s="104"/>
      <c r="C293" s="224"/>
      <c r="D293" s="64"/>
      <c r="E293" s="64"/>
      <c r="F293" s="64"/>
      <c r="G293" s="64"/>
      <c r="H293" s="64"/>
      <c r="I293" s="209"/>
      <c r="J293" s="64"/>
      <c r="K293" s="208"/>
      <c r="L293" s="3"/>
      <c r="M293" s="87" t="s">
        <v>414</v>
      </c>
      <c r="N293" s="3">
        <f t="shared" si="65"/>
        <v>21111.199999999997</v>
      </c>
      <c r="O293" s="3">
        <f t="shared" si="65"/>
        <v>21111.200000000001</v>
      </c>
      <c r="P293" s="3"/>
      <c r="Q293" s="3"/>
      <c r="R293" s="3">
        <v>5725.3</v>
      </c>
      <c r="S293" s="3">
        <v>5725.3</v>
      </c>
      <c r="T293" s="3"/>
      <c r="U293" s="3"/>
      <c r="V293" s="3">
        <f>10361.4+4319.2+1562.4+4868.2-5725.3</f>
        <v>15385.899999999998</v>
      </c>
      <c r="W293" s="3">
        <f>21111.2-5725.3</f>
        <v>15385.900000000001</v>
      </c>
      <c r="X293" s="3">
        <f t="shared" si="66"/>
        <v>24367.4</v>
      </c>
      <c r="Y293" s="3"/>
      <c r="Z293" s="3"/>
      <c r="AA293" s="3"/>
      <c r="AB293" s="3">
        <f>15591.8+4878.6+217.1+359.4-35+1754+1601.5</f>
        <v>24367.4</v>
      </c>
      <c r="AC293" s="3">
        <f t="shared" si="67"/>
        <v>10824</v>
      </c>
      <c r="AD293" s="3"/>
      <c r="AE293" s="3"/>
      <c r="AF293" s="3"/>
      <c r="AG293" s="3">
        <f>15591.8-4767.8</f>
        <v>10824</v>
      </c>
      <c r="AH293" s="3">
        <f t="shared" si="68"/>
        <v>7777.9999999999991</v>
      </c>
      <c r="AI293" s="3"/>
      <c r="AJ293" s="3"/>
      <c r="AK293" s="3"/>
      <c r="AL293" s="3">
        <f>15591.8-7813.8</f>
        <v>7777.9999999999991</v>
      </c>
      <c r="AM293" s="3">
        <f t="shared" si="69"/>
        <v>7777.9999999999991</v>
      </c>
      <c r="AN293" s="3"/>
      <c r="AO293" s="3"/>
      <c r="AP293" s="3"/>
      <c r="AQ293" s="3">
        <f>15591.8-7813.8</f>
        <v>7777.9999999999991</v>
      </c>
    </row>
    <row r="294" spans="1:43" ht="35.450000000000003" customHeight="1" thickBot="1">
      <c r="A294" s="72" t="s">
        <v>269</v>
      </c>
      <c r="B294" s="104"/>
      <c r="C294" s="224"/>
      <c r="D294" s="64"/>
      <c r="E294" s="64"/>
      <c r="F294" s="64"/>
      <c r="G294" s="64"/>
      <c r="H294" s="64"/>
      <c r="I294" s="209"/>
      <c r="J294" s="64"/>
      <c r="K294" s="208"/>
      <c r="L294" s="3"/>
      <c r="M294" s="87" t="s">
        <v>415</v>
      </c>
      <c r="N294" s="3">
        <f t="shared" si="65"/>
        <v>1408.8</v>
      </c>
      <c r="O294" s="3">
        <f t="shared" si="65"/>
        <v>1408.1</v>
      </c>
      <c r="P294" s="3"/>
      <c r="Q294" s="3"/>
      <c r="R294" s="3"/>
      <c r="S294" s="3"/>
      <c r="T294" s="3"/>
      <c r="U294" s="3"/>
      <c r="V294" s="3">
        <f>67.5+733+263.8+344.5</f>
        <v>1408.8</v>
      </c>
      <c r="W294" s="3">
        <v>1408.1</v>
      </c>
      <c r="X294" s="3">
        <f t="shared" si="66"/>
        <v>996.19999999999993</v>
      </c>
      <c r="Y294" s="3"/>
      <c r="Z294" s="3"/>
      <c r="AA294" s="3"/>
      <c r="AB294" s="3">
        <f>599.8+130+266.4</f>
        <v>996.19999999999993</v>
      </c>
      <c r="AC294" s="3">
        <f t="shared" si="67"/>
        <v>0</v>
      </c>
      <c r="AD294" s="3"/>
      <c r="AE294" s="3"/>
      <c r="AF294" s="3"/>
      <c r="AG294" s="3"/>
      <c r="AH294" s="3">
        <f t="shared" si="68"/>
        <v>0</v>
      </c>
      <c r="AI294" s="3"/>
      <c r="AJ294" s="3"/>
      <c r="AK294" s="3"/>
      <c r="AL294" s="3"/>
      <c r="AM294" s="3">
        <f t="shared" si="69"/>
        <v>0</v>
      </c>
      <c r="AN294" s="3"/>
      <c r="AO294" s="3"/>
      <c r="AP294" s="3"/>
      <c r="AQ294" s="3"/>
    </row>
    <row r="295" spans="1:43" ht="35.450000000000003" customHeight="1" thickBot="1">
      <c r="A295" s="72" t="s">
        <v>269</v>
      </c>
      <c r="B295" s="104"/>
      <c r="C295" s="224"/>
      <c r="D295" s="64"/>
      <c r="E295" s="64"/>
      <c r="F295" s="64"/>
      <c r="G295" s="64"/>
      <c r="H295" s="64"/>
      <c r="I295" s="209"/>
      <c r="J295" s="64"/>
      <c r="K295" s="208"/>
      <c r="L295" s="3"/>
      <c r="M295" s="87" t="s">
        <v>416</v>
      </c>
      <c r="N295" s="3">
        <f t="shared" si="65"/>
        <v>10000</v>
      </c>
      <c r="O295" s="3">
        <f t="shared" si="65"/>
        <v>10000</v>
      </c>
      <c r="P295" s="3"/>
      <c r="Q295" s="3"/>
      <c r="R295" s="3">
        <v>10000</v>
      </c>
      <c r="S295" s="3">
        <v>10000</v>
      </c>
      <c r="T295" s="3"/>
      <c r="U295" s="3"/>
      <c r="V295" s="3"/>
      <c r="W295" s="3"/>
      <c r="X295" s="3"/>
      <c r="Y295" s="3"/>
      <c r="Z295" s="3"/>
      <c r="AA295" s="3"/>
      <c r="AB295" s="3"/>
      <c r="AC295" s="3"/>
      <c r="AD295" s="3"/>
      <c r="AE295" s="3"/>
      <c r="AF295" s="3"/>
      <c r="AG295" s="3"/>
      <c r="AH295" s="3">
        <f t="shared" si="68"/>
        <v>0</v>
      </c>
      <c r="AI295" s="3"/>
      <c r="AJ295" s="3"/>
      <c r="AK295" s="3"/>
      <c r="AL295" s="3"/>
      <c r="AM295" s="3">
        <f t="shared" si="69"/>
        <v>0</v>
      </c>
      <c r="AN295" s="3"/>
      <c r="AO295" s="3"/>
      <c r="AP295" s="3"/>
      <c r="AQ295" s="3"/>
    </row>
    <row r="296" spans="1:43" ht="35.450000000000003" customHeight="1" thickBot="1">
      <c r="A296" s="72" t="s">
        <v>269</v>
      </c>
      <c r="B296" s="104"/>
      <c r="C296" s="224"/>
      <c r="D296" s="64"/>
      <c r="E296" s="64"/>
      <c r="F296" s="64"/>
      <c r="G296" s="64"/>
      <c r="H296" s="64"/>
      <c r="I296" s="209"/>
      <c r="J296" s="64"/>
      <c r="K296" s="208"/>
      <c r="L296" s="3"/>
      <c r="M296" s="87" t="s">
        <v>417</v>
      </c>
      <c r="N296" s="3">
        <f t="shared" si="65"/>
        <v>2124.1999999999998</v>
      </c>
      <c r="O296" s="3">
        <f t="shared" si="65"/>
        <v>2124.1999999999998</v>
      </c>
      <c r="P296" s="3"/>
      <c r="Q296" s="3"/>
      <c r="R296" s="3"/>
      <c r="S296" s="3"/>
      <c r="T296" s="3"/>
      <c r="U296" s="3"/>
      <c r="V296" s="3">
        <v>2124.1999999999998</v>
      </c>
      <c r="W296" s="3">
        <v>2124.1999999999998</v>
      </c>
      <c r="X296" s="3"/>
      <c r="Y296" s="3"/>
      <c r="Z296" s="3"/>
      <c r="AA296" s="3"/>
      <c r="AB296" s="3"/>
      <c r="AC296" s="3"/>
      <c r="AD296" s="3"/>
      <c r="AE296" s="3"/>
      <c r="AF296" s="3"/>
      <c r="AG296" s="3"/>
      <c r="AH296" s="3">
        <f t="shared" si="68"/>
        <v>0</v>
      </c>
      <c r="AI296" s="3"/>
      <c r="AJ296" s="3"/>
      <c r="AK296" s="3"/>
      <c r="AL296" s="3"/>
      <c r="AM296" s="3">
        <f t="shared" si="69"/>
        <v>0</v>
      </c>
      <c r="AN296" s="3"/>
      <c r="AO296" s="3"/>
      <c r="AP296" s="3"/>
      <c r="AQ296" s="3"/>
    </row>
    <row r="297" spans="1:43" ht="35.450000000000003" customHeight="1" thickBot="1">
      <c r="A297" s="72" t="s">
        <v>269</v>
      </c>
      <c r="B297" s="104"/>
      <c r="C297" s="64"/>
      <c r="D297" s="64"/>
      <c r="E297" s="64"/>
      <c r="F297" s="179"/>
      <c r="G297" s="64"/>
      <c r="H297" s="223"/>
      <c r="I297" s="210" t="s">
        <v>423</v>
      </c>
      <c r="J297" s="64" t="s">
        <v>277</v>
      </c>
      <c r="K297" s="64" t="s">
        <v>277</v>
      </c>
      <c r="L297" s="3"/>
      <c r="M297" s="87" t="s">
        <v>419</v>
      </c>
      <c r="N297" s="3">
        <f t="shared" si="65"/>
        <v>0</v>
      </c>
      <c r="O297" s="3">
        <f t="shared" si="65"/>
        <v>0</v>
      </c>
      <c r="P297" s="3"/>
      <c r="Q297" s="3"/>
      <c r="R297" s="3"/>
      <c r="S297" s="3"/>
      <c r="T297" s="3"/>
      <c r="U297" s="3"/>
      <c r="V297" s="3"/>
      <c r="W297" s="3"/>
      <c r="X297" s="3">
        <f>Y297+Z297+AA297+AB297</f>
        <v>0</v>
      </c>
      <c r="Y297" s="3"/>
      <c r="Z297" s="3"/>
      <c r="AA297" s="3"/>
      <c r="AB297" s="3"/>
      <c r="AC297" s="3">
        <f>AD297+AE297+AF297+AG297</f>
        <v>0</v>
      </c>
      <c r="AD297" s="3"/>
      <c r="AE297" s="3"/>
      <c r="AF297" s="3"/>
      <c r="AG297" s="3"/>
      <c r="AH297" s="3">
        <f t="shared" si="68"/>
        <v>0</v>
      </c>
      <c r="AI297" s="3"/>
      <c r="AJ297" s="3"/>
      <c r="AK297" s="3"/>
      <c r="AL297" s="3"/>
      <c r="AM297" s="3">
        <f t="shared" si="69"/>
        <v>0</v>
      </c>
      <c r="AN297" s="3"/>
      <c r="AO297" s="3"/>
      <c r="AP297" s="3"/>
      <c r="AQ297" s="3"/>
    </row>
    <row r="298" spans="1:43" ht="35.450000000000003" customHeight="1" thickBot="1">
      <c r="A298" s="72" t="s">
        <v>269</v>
      </c>
      <c r="B298" s="104"/>
      <c r="C298" s="64"/>
      <c r="D298" s="64"/>
      <c r="E298" s="64"/>
      <c r="F298" s="179"/>
      <c r="G298" s="64"/>
      <c r="H298" s="223"/>
      <c r="I298" s="210"/>
      <c r="J298" s="64"/>
      <c r="K298" s="208"/>
      <c r="L298" s="3"/>
      <c r="M298" s="87" t="s">
        <v>420</v>
      </c>
      <c r="N298" s="3"/>
      <c r="O298" s="3">
        <f t="shared" si="65"/>
        <v>0</v>
      </c>
      <c r="P298" s="3"/>
      <c r="Q298" s="3"/>
      <c r="R298" s="3"/>
      <c r="S298" s="3"/>
      <c r="T298" s="3"/>
      <c r="U298" s="3"/>
      <c r="V298" s="3"/>
      <c r="W298" s="3"/>
      <c r="X298" s="3"/>
      <c r="Y298" s="3"/>
      <c r="Z298" s="3"/>
      <c r="AA298" s="3"/>
      <c r="AB298" s="3"/>
      <c r="AC298" s="3"/>
      <c r="AD298" s="3"/>
      <c r="AE298" s="3"/>
      <c r="AF298" s="3"/>
      <c r="AG298" s="3"/>
      <c r="AH298" s="3">
        <f t="shared" si="68"/>
        <v>0</v>
      </c>
      <c r="AI298" s="3"/>
      <c r="AJ298" s="3"/>
      <c r="AK298" s="3"/>
      <c r="AL298" s="3"/>
      <c r="AM298" s="3">
        <f t="shared" si="69"/>
        <v>0</v>
      </c>
      <c r="AN298" s="3"/>
      <c r="AO298" s="3"/>
      <c r="AP298" s="3"/>
      <c r="AQ298" s="3"/>
    </row>
    <row r="299" spans="1:43" ht="35.450000000000003" customHeight="1" thickBot="1">
      <c r="A299" s="72" t="s">
        <v>269</v>
      </c>
      <c r="B299" s="104"/>
      <c r="F299" s="179"/>
      <c r="G299" s="64"/>
      <c r="H299" s="223"/>
      <c r="I299" s="210"/>
      <c r="J299" s="64"/>
      <c r="K299" s="208"/>
      <c r="L299" s="3"/>
      <c r="M299" s="87" t="s">
        <v>421</v>
      </c>
      <c r="N299" s="3">
        <f t="shared" ref="N299:O315" si="70">P299+R299+T299+V299</f>
        <v>0</v>
      </c>
      <c r="O299" s="3">
        <f t="shared" si="65"/>
        <v>0</v>
      </c>
      <c r="P299" s="3"/>
      <c r="Q299" s="3"/>
      <c r="R299" s="3"/>
      <c r="S299" s="3"/>
      <c r="T299" s="3"/>
      <c r="U299" s="3"/>
      <c r="V299" s="3"/>
      <c r="W299" s="3"/>
      <c r="X299" s="3">
        <f>Y299+Z299+AA299+AB299</f>
        <v>0</v>
      </c>
      <c r="Y299" s="3"/>
      <c r="Z299" s="3"/>
      <c r="AA299" s="3"/>
      <c r="AB299" s="3"/>
      <c r="AC299" s="3">
        <f>AD299+AE299+AF299+AG299</f>
        <v>0</v>
      </c>
      <c r="AD299" s="3"/>
      <c r="AE299" s="3"/>
      <c r="AF299" s="3"/>
      <c r="AG299" s="3"/>
      <c r="AH299" s="3">
        <f t="shared" si="68"/>
        <v>0</v>
      </c>
      <c r="AI299" s="3"/>
      <c r="AJ299" s="3"/>
      <c r="AK299" s="3"/>
      <c r="AL299" s="3"/>
      <c r="AM299" s="3">
        <f t="shared" si="69"/>
        <v>0</v>
      </c>
      <c r="AN299" s="3"/>
      <c r="AO299" s="3"/>
      <c r="AP299" s="3"/>
      <c r="AQ299" s="3"/>
    </row>
    <row r="300" spans="1:43" ht="35.450000000000003" customHeight="1" thickBot="1">
      <c r="A300" s="72" t="s">
        <v>269</v>
      </c>
      <c r="B300" s="104"/>
      <c r="F300" s="179"/>
      <c r="G300" s="64"/>
      <c r="H300" s="223"/>
      <c r="I300" s="210"/>
      <c r="J300" s="64"/>
      <c r="K300" s="208"/>
      <c r="L300" s="3"/>
      <c r="M300" s="87" t="s">
        <v>422</v>
      </c>
      <c r="N300" s="3">
        <f t="shared" si="70"/>
        <v>0</v>
      </c>
      <c r="O300" s="3">
        <f t="shared" si="65"/>
        <v>0</v>
      </c>
      <c r="P300" s="3"/>
      <c r="Q300" s="3"/>
      <c r="R300" s="3"/>
      <c r="S300" s="3"/>
      <c r="T300" s="3"/>
      <c r="U300" s="3"/>
      <c r="V300" s="3"/>
      <c r="W300" s="3"/>
      <c r="X300" s="3"/>
      <c r="Y300" s="3"/>
      <c r="Z300" s="3"/>
      <c r="AA300" s="3"/>
      <c r="AB300" s="3"/>
      <c r="AC300" s="3"/>
      <c r="AD300" s="3"/>
      <c r="AE300" s="3"/>
      <c r="AF300" s="3"/>
      <c r="AG300" s="3"/>
      <c r="AH300" s="3">
        <f t="shared" si="68"/>
        <v>0</v>
      </c>
      <c r="AI300" s="3"/>
      <c r="AJ300" s="3"/>
      <c r="AK300" s="3"/>
      <c r="AL300" s="3"/>
      <c r="AM300" s="3">
        <f t="shared" si="69"/>
        <v>0</v>
      </c>
      <c r="AN300" s="3"/>
      <c r="AO300" s="3"/>
      <c r="AP300" s="3"/>
      <c r="AQ300" s="3"/>
    </row>
    <row r="301" spans="1:43" ht="35.450000000000003" customHeight="1" thickBot="1">
      <c r="A301" s="72" t="s">
        <v>269</v>
      </c>
      <c r="B301" s="104"/>
      <c r="C301" s="64"/>
      <c r="D301" s="64"/>
      <c r="E301" s="64"/>
      <c r="F301" s="179"/>
      <c r="G301" s="64"/>
      <c r="H301" s="223"/>
      <c r="I301" s="210"/>
      <c r="J301" s="64"/>
      <c r="K301" s="208"/>
      <c r="L301" s="3"/>
      <c r="M301" s="87" t="s">
        <v>420</v>
      </c>
      <c r="N301" s="3">
        <f t="shared" si="70"/>
        <v>23514.3</v>
      </c>
      <c r="O301" s="3">
        <f t="shared" si="65"/>
        <v>23018.2</v>
      </c>
      <c r="P301" s="3"/>
      <c r="Q301" s="3"/>
      <c r="R301" s="3"/>
      <c r="S301" s="3"/>
      <c r="T301" s="3"/>
      <c r="U301" s="3"/>
      <c r="V301" s="3">
        <f>24652.2+325.7+108.6-1572.2</f>
        <v>23514.3</v>
      </c>
      <c r="W301" s="3">
        <v>23018.2</v>
      </c>
      <c r="X301" s="3">
        <f>AB301</f>
        <v>26840.199999999997</v>
      </c>
      <c r="Y301" s="3"/>
      <c r="Z301" s="3"/>
      <c r="AA301" s="3"/>
      <c r="AB301" s="3">
        <f>28708.1-1867.9</f>
        <v>26840.199999999997</v>
      </c>
      <c r="AC301" s="3">
        <f>AG301</f>
        <v>33475.9</v>
      </c>
      <c r="AD301" s="3"/>
      <c r="AE301" s="3"/>
      <c r="AF301" s="3"/>
      <c r="AG301" s="3">
        <f>28708.1+4767.8</f>
        <v>33475.9</v>
      </c>
      <c r="AH301" s="3">
        <f>AL301</f>
        <v>36522</v>
      </c>
      <c r="AI301" s="3"/>
      <c r="AJ301" s="3"/>
      <c r="AK301" s="3"/>
      <c r="AL301" s="3">
        <f>28708.1+7813.9</f>
        <v>36522</v>
      </c>
      <c r="AM301" s="3">
        <f>AQ301</f>
        <v>36522</v>
      </c>
      <c r="AN301" s="3"/>
      <c r="AO301" s="3"/>
      <c r="AP301" s="3"/>
      <c r="AQ301" s="3">
        <f>28708.1+7813.9</f>
        <v>36522</v>
      </c>
    </row>
    <row r="302" spans="1:43" ht="35.450000000000003" customHeight="1" thickBot="1">
      <c r="A302" s="72" t="s">
        <v>269</v>
      </c>
      <c r="B302" s="104"/>
      <c r="C302" s="64"/>
      <c r="D302" s="64"/>
      <c r="E302" s="64"/>
      <c r="F302" s="179"/>
      <c r="G302" s="64"/>
      <c r="H302" s="223"/>
      <c r="I302" s="210"/>
      <c r="J302" s="64"/>
      <c r="K302" s="208"/>
      <c r="L302" s="3"/>
      <c r="M302" s="87" t="s">
        <v>424</v>
      </c>
      <c r="N302" s="3">
        <f t="shared" si="70"/>
        <v>0</v>
      </c>
      <c r="O302" s="3">
        <f t="shared" si="65"/>
        <v>0</v>
      </c>
      <c r="P302" s="3"/>
      <c r="Q302" s="3"/>
      <c r="R302" s="3"/>
      <c r="S302" s="3"/>
      <c r="T302" s="3"/>
      <c r="U302" s="3"/>
      <c r="V302" s="3">
        <f>249.5-108.6-140.9</f>
        <v>0</v>
      </c>
      <c r="W302" s="3"/>
      <c r="X302" s="3">
        <f>AB302</f>
        <v>360.4</v>
      </c>
      <c r="Y302" s="3"/>
      <c r="Z302" s="3"/>
      <c r="AA302" s="3"/>
      <c r="AB302" s="3">
        <v>360.4</v>
      </c>
      <c r="AC302" s="3">
        <f>AG302</f>
        <v>420.3</v>
      </c>
      <c r="AD302" s="3"/>
      <c r="AE302" s="3"/>
      <c r="AF302" s="3"/>
      <c r="AG302" s="3">
        <v>420.3</v>
      </c>
      <c r="AH302" s="3">
        <f>AL302</f>
        <v>458.5</v>
      </c>
      <c r="AI302" s="3"/>
      <c r="AJ302" s="3"/>
      <c r="AK302" s="3"/>
      <c r="AL302" s="3">
        <v>458.5</v>
      </c>
      <c r="AM302" s="3">
        <f>AQ302</f>
        <v>458.5</v>
      </c>
      <c r="AN302" s="3"/>
      <c r="AO302" s="3"/>
      <c r="AP302" s="3"/>
      <c r="AQ302" s="3">
        <v>458.5</v>
      </c>
    </row>
    <row r="303" spans="1:43" ht="35.450000000000003" customHeight="1" thickBot="1">
      <c r="A303" s="72" t="s">
        <v>269</v>
      </c>
      <c r="B303" s="104"/>
      <c r="C303" s="64"/>
      <c r="D303" s="64"/>
      <c r="E303" s="64"/>
      <c r="F303" s="179"/>
      <c r="G303" s="64"/>
      <c r="H303" s="223"/>
      <c r="I303" s="210"/>
      <c r="J303" s="64"/>
      <c r="K303" s="208"/>
      <c r="L303" s="3"/>
      <c r="M303" s="87" t="s">
        <v>425</v>
      </c>
      <c r="N303" s="3">
        <f t="shared" si="70"/>
        <v>0</v>
      </c>
      <c r="O303" s="3">
        <f t="shared" si="65"/>
        <v>0</v>
      </c>
      <c r="P303" s="3"/>
      <c r="Q303" s="3"/>
      <c r="R303" s="3"/>
      <c r="S303" s="3"/>
      <c r="T303" s="3"/>
      <c r="U303" s="3"/>
      <c r="V303" s="3"/>
      <c r="W303" s="3"/>
      <c r="X303" s="3">
        <f t="shared" ref="X303:X311" si="71">Y303+Z303+AA303+AB303</f>
        <v>0</v>
      </c>
      <c r="Y303" s="3"/>
      <c r="Z303" s="3"/>
      <c r="AA303" s="3"/>
      <c r="AB303" s="3"/>
      <c r="AC303" s="3">
        <f t="shared" ref="AC303:AC309" si="72">AD303+AE303+AF303+AG303</f>
        <v>0</v>
      </c>
      <c r="AD303" s="3"/>
      <c r="AE303" s="3"/>
      <c r="AF303" s="3"/>
      <c r="AG303" s="3"/>
      <c r="AH303" s="3">
        <f t="shared" si="68"/>
        <v>0</v>
      </c>
      <c r="AI303" s="3"/>
      <c r="AJ303" s="3"/>
      <c r="AK303" s="3"/>
      <c r="AL303" s="3"/>
      <c r="AM303" s="3">
        <f t="shared" si="69"/>
        <v>0</v>
      </c>
      <c r="AN303" s="3"/>
      <c r="AO303" s="3"/>
      <c r="AP303" s="3"/>
      <c r="AQ303" s="3"/>
    </row>
    <row r="304" spans="1:43" ht="35.450000000000003" customHeight="1" thickBot="1">
      <c r="A304" s="72" t="s">
        <v>269</v>
      </c>
      <c r="B304" s="104"/>
      <c r="C304" s="64"/>
      <c r="D304" s="64"/>
      <c r="E304" s="64"/>
      <c r="F304" s="179"/>
      <c r="G304" s="64"/>
      <c r="H304" s="223"/>
      <c r="I304" s="210"/>
      <c r="J304" s="64"/>
      <c r="K304" s="208"/>
      <c r="L304" s="3"/>
      <c r="M304" s="87" t="s">
        <v>426</v>
      </c>
      <c r="N304" s="3">
        <f t="shared" si="70"/>
        <v>0</v>
      </c>
      <c r="O304" s="3">
        <f t="shared" si="70"/>
        <v>0</v>
      </c>
      <c r="P304" s="3"/>
      <c r="Q304" s="3"/>
      <c r="R304" s="3"/>
      <c r="S304" s="3"/>
      <c r="T304" s="3"/>
      <c r="U304" s="3"/>
      <c r="V304" s="3">
        <f>249.5-108.6-140.9</f>
        <v>0</v>
      </c>
      <c r="W304" s="3"/>
      <c r="X304" s="3">
        <f t="shared" si="71"/>
        <v>360.4</v>
      </c>
      <c r="Y304" s="3"/>
      <c r="Z304" s="3"/>
      <c r="AA304" s="3"/>
      <c r="AB304" s="3">
        <v>360.4</v>
      </c>
      <c r="AC304" s="3">
        <f t="shared" si="72"/>
        <v>420.3</v>
      </c>
      <c r="AD304" s="3"/>
      <c r="AE304" s="3"/>
      <c r="AF304" s="3"/>
      <c r="AG304" s="3">
        <v>420.3</v>
      </c>
      <c r="AH304" s="3">
        <f t="shared" si="68"/>
        <v>458.5</v>
      </c>
      <c r="AI304" s="3"/>
      <c r="AJ304" s="3"/>
      <c r="AK304" s="3"/>
      <c r="AL304" s="3">
        <v>458.5</v>
      </c>
      <c r="AM304" s="3">
        <f t="shared" si="69"/>
        <v>458.5</v>
      </c>
      <c r="AN304" s="3"/>
      <c r="AO304" s="3"/>
      <c r="AP304" s="3"/>
      <c r="AQ304" s="3">
        <v>458.5</v>
      </c>
    </row>
    <row r="305" spans="1:43" ht="35.450000000000003" customHeight="1" thickBot="1">
      <c r="A305" s="72" t="s">
        <v>269</v>
      </c>
      <c r="B305" s="104"/>
      <c r="C305" s="64"/>
      <c r="D305" s="64"/>
      <c r="E305" s="64"/>
      <c r="F305" s="179"/>
      <c r="G305" s="64"/>
      <c r="H305" s="223"/>
      <c r="I305" s="210"/>
      <c r="J305" s="64"/>
      <c r="K305" s="208"/>
      <c r="L305" s="3"/>
      <c r="M305" s="87" t="s">
        <v>427</v>
      </c>
      <c r="N305" s="3">
        <f t="shared" si="70"/>
        <v>0</v>
      </c>
      <c r="O305" s="3">
        <f t="shared" si="70"/>
        <v>0</v>
      </c>
      <c r="P305" s="3"/>
      <c r="Q305" s="3"/>
      <c r="R305" s="3"/>
      <c r="S305" s="3"/>
      <c r="T305" s="3"/>
      <c r="U305" s="3"/>
      <c r="V305" s="3">
        <f>249.5-108.6-140.9</f>
        <v>0</v>
      </c>
      <c r="W305" s="3"/>
      <c r="X305" s="3">
        <f t="shared" si="71"/>
        <v>360.4</v>
      </c>
      <c r="Y305" s="3"/>
      <c r="Z305" s="3"/>
      <c r="AA305" s="3"/>
      <c r="AB305" s="3">
        <v>360.4</v>
      </c>
      <c r="AC305" s="3">
        <f t="shared" si="72"/>
        <v>420.3</v>
      </c>
      <c r="AD305" s="3"/>
      <c r="AE305" s="3"/>
      <c r="AF305" s="3"/>
      <c r="AG305" s="3">
        <v>420.3</v>
      </c>
      <c r="AH305" s="3">
        <f t="shared" si="68"/>
        <v>458.5</v>
      </c>
      <c r="AI305" s="3"/>
      <c r="AJ305" s="3"/>
      <c r="AK305" s="3"/>
      <c r="AL305" s="3">
        <v>458.5</v>
      </c>
      <c r="AM305" s="3">
        <f t="shared" si="69"/>
        <v>458.5</v>
      </c>
      <c r="AN305" s="3"/>
      <c r="AO305" s="3"/>
      <c r="AP305" s="3"/>
      <c r="AQ305" s="3">
        <v>458.5</v>
      </c>
    </row>
    <row r="306" spans="1:43" ht="35.450000000000003" customHeight="1" thickBot="1">
      <c r="A306" s="72" t="s">
        <v>269</v>
      </c>
      <c r="B306" s="104"/>
      <c r="C306" s="64"/>
      <c r="D306" s="64"/>
      <c r="E306" s="64"/>
      <c r="F306" s="179"/>
      <c r="G306" s="64"/>
      <c r="H306" s="223"/>
      <c r="I306" s="210"/>
      <c r="J306" s="64"/>
      <c r="K306" s="208"/>
      <c r="L306" s="3"/>
      <c r="M306" s="87" t="s">
        <v>428</v>
      </c>
      <c r="N306" s="3">
        <f t="shared" si="70"/>
        <v>0</v>
      </c>
      <c r="O306" s="3">
        <f t="shared" si="70"/>
        <v>0</v>
      </c>
      <c r="P306" s="3"/>
      <c r="Q306" s="3"/>
      <c r="R306" s="3"/>
      <c r="S306" s="3"/>
      <c r="T306" s="3"/>
      <c r="U306" s="3"/>
      <c r="V306" s="3"/>
      <c r="W306" s="3"/>
      <c r="X306" s="3">
        <f t="shared" si="71"/>
        <v>0</v>
      </c>
      <c r="Y306" s="3"/>
      <c r="Z306" s="3"/>
      <c r="AA306" s="3"/>
      <c r="AB306" s="3"/>
      <c r="AC306" s="3">
        <f t="shared" si="72"/>
        <v>0</v>
      </c>
      <c r="AD306" s="3"/>
      <c r="AE306" s="3"/>
      <c r="AF306" s="3"/>
      <c r="AG306" s="3"/>
      <c r="AH306" s="3">
        <f t="shared" si="68"/>
        <v>0</v>
      </c>
      <c r="AI306" s="3"/>
      <c r="AJ306" s="3"/>
      <c r="AK306" s="3"/>
      <c r="AL306" s="3"/>
      <c r="AM306" s="3">
        <f t="shared" si="69"/>
        <v>0</v>
      </c>
      <c r="AN306" s="3"/>
      <c r="AO306" s="3"/>
      <c r="AP306" s="3"/>
      <c r="AQ306" s="3"/>
    </row>
    <row r="307" spans="1:43" ht="35.450000000000003" customHeight="1" thickBot="1">
      <c r="A307" s="72" t="s">
        <v>269</v>
      </c>
      <c r="B307" s="104"/>
      <c r="C307" s="64"/>
      <c r="D307" s="64"/>
      <c r="E307" s="64"/>
      <c r="F307" s="179"/>
      <c r="G307" s="64"/>
      <c r="H307" s="223"/>
      <c r="I307" s="210"/>
      <c r="J307" s="64"/>
      <c r="K307" s="208"/>
      <c r="L307" s="3"/>
      <c r="M307" s="87" t="s">
        <v>429</v>
      </c>
      <c r="N307" s="3">
        <f t="shared" si="70"/>
        <v>0</v>
      </c>
      <c r="O307" s="3">
        <f t="shared" si="70"/>
        <v>0</v>
      </c>
      <c r="P307" s="3"/>
      <c r="Q307" s="3"/>
      <c r="R307" s="3"/>
      <c r="S307" s="3"/>
      <c r="T307" s="3"/>
      <c r="U307" s="3"/>
      <c r="V307" s="3"/>
      <c r="W307" s="3"/>
      <c r="X307" s="3">
        <f t="shared" si="71"/>
        <v>0</v>
      </c>
      <c r="Y307" s="3"/>
      <c r="Z307" s="3"/>
      <c r="AA307" s="3"/>
      <c r="AB307" s="3"/>
      <c r="AC307" s="3">
        <f t="shared" si="72"/>
        <v>0</v>
      </c>
      <c r="AD307" s="3"/>
      <c r="AE307" s="3"/>
      <c r="AF307" s="3"/>
      <c r="AG307" s="3"/>
      <c r="AH307" s="3">
        <f t="shared" si="68"/>
        <v>0</v>
      </c>
      <c r="AI307" s="3"/>
      <c r="AJ307" s="3"/>
      <c r="AK307" s="3"/>
      <c r="AL307" s="3"/>
      <c r="AM307" s="3">
        <f t="shared" si="69"/>
        <v>0</v>
      </c>
      <c r="AN307" s="3"/>
      <c r="AO307" s="3"/>
      <c r="AP307" s="3"/>
      <c r="AQ307" s="3"/>
    </row>
    <row r="308" spans="1:43" ht="35.450000000000003" customHeight="1" thickBot="1">
      <c r="A308" s="72" t="s">
        <v>269</v>
      </c>
      <c r="B308" s="104"/>
      <c r="C308" s="64"/>
      <c r="D308" s="64"/>
      <c r="E308" s="64"/>
      <c r="F308" s="179"/>
      <c r="G308" s="64"/>
      <c r="H308" s="223"/>
      <c r="I308" s="210"/>
      <c r="J308" s="64"/>
      <c r="K308" s="208"/>
      <c r="L308" s="3"/>
      <c r="M308" s="87" t="s">
        <v>430</v>
      </c>
      <c r="N308" s="3">
        <f t="shared" si="70"/>
        <v>0</v>
      </c>
      <c r="O308" s="3">
        <f t="shared" si="70"/>
        <v>0</v>
      </c>
      <c r="P308" s="3"/>
      <c r="Q308" s="3"/>
      <c r="R308" s="3"/>
      <c r="S308" s="3"/>
      <c r="T308" s="3"/>
      <c r="U308" s="3"/>
      <c r="V308" s="3"/>
      <c r="W308" s="3"/>
      <c r="X308" s="3">
        <f t="shared" si="71"/>
        <v>0</v>
      </c>
      <c r="Y308" s="3"/>
      <c r="Z308" s="3"/>
      <c r="AA308" s="3"/>
      <c r="AB308" s="3"/>
      <c r="AC308" s="3">
        <f t="shared" si="72"/>
        <v>0</v>
      </c>
      <c r="AD308" s="3"/>
      <c r="AE308" s="3"/>
      <c r="AF308" s="3"/>
      <c r="AG308" s="3"/>
      <c r="AH308" s="3">
        <f t="shared" si="68"/>
        <v>0</v>
      </c>
      <c r="AI308" s="3"/>
      <c r="AJ308" s="3"/>
      <c r="AK308" s="3"/>
      <c r="AL308" s="3"/>
      <c r="AM308" s="3">
        <f t="shared" si="69"/>
        <v>0</v>
      </c>
      <c r="AN308" s="3"/>
      <c r="AO308" s="3"/>
      <c r="AP308" s="3"/>
      <c r="AQ308" s="3"/>
    </row>
    <row r="309" spans="1:43" ht="35.450000000000003" customHeight="1" thickBot="1">
      <c r="A309" s="72" t="s">
        <v>269</v>
      </c>
      <c r="B309" s="104"/>
      <c r="C309" s="64"/>
      <c r="D309" s="64"/>
      <c r="E309" s="64"/>
      <c r="F309" s="179"/>
      <c r="G309" s="64"/>
      <c r="H309" s="223"/>
      <c r="I309" s="210"/>
      <c r="J309" s="64"/>
      <c r="K309" s="208"/>
      <c r="L309" s="3"/>
      <c r="M309" s="87" t="s">
        <v>431</v>
      </c>
      <c r="N309" s="3">
        <f t="shared" si="70"/>
        <v>0</v>
      </c>
      <c r="O309" s="3">
        <f t="shared" si="70"/>
        <v>0</v>
      </c>
      <c r="P309" s="3"/>
      <c r="Q309" s="3"/>
      <c r="R309" s="3"/>
      <c r="S309" s="3"/>
      <c r="T309" s="3"/>
      <c r="U309" s="3"/>
      <c r="V309" s="3">
        <f>249.5-108.6-140.9</f>
        <v>0</v>
      </c>
      <c r="W309" s="3"/>
      <c r="X309" s="3">
        <f t="shared" si="71"/>
        <v>360.4</v>
      </c>
      <c r="Y309" s="3"/>
      <c r="Z309" s="3"/>
      <c r="AA309" s="3"/>
      <c r="AB309" s="3">
        <v>360.4</v>
      </c>
      <c r="AC309" s="3">
        <f t="shared" si="72"/>
        <v>420.3</v>
      </c>
      <c r="AD309" s="3"/>
      <c r="AE309" s="3"/>
      <c r="AF309" s="3"/>
      <c r="AG309" s="3">
        <v>420.3</v>
      </c>
      <c r="AH309" s="3">
        <f t="shared" si="68"/>
        <v>458.5</v>
      </c>
      <c r="AI309" s="3"/>
      <c r="AJ309" s="3"/>
      <c r="AK309" s="3"/>
      <c r="AL309" s="3">
        <v>458.5</v>
      </c>
      <c r="AM309" s="3">
        <f t="shared" si="69"/>
        <v>458.5</v>
      </c>
      <c r="AN309" s="3"/>
      <c r="AO309" s="3"/>
      <c r="AP309" s="3"/>
      <c r="AQ309" s="3">
        <v>458.5</v>
      </c>
    </row>
    <row r="310" spans="1:43" ht="35.450000000000003" customHeight="1" thickBot="1">
      <c r="A310" s="72" t="s">
        <v>269</v>
      </c>
      <c r="B310" s="104"/>
      <c r="C310" s="64"/>
      <c r="D310" s="64"/>
      <c r="E310" s="64"/>
      <c r="F310" s="179"/>
      <c r="G310" s="64"/>
      <c r="H310" s="223"/>
      <c r="I310" s="210"/>
      <c r="J310" s="64"/>
      <c r="K310" s="208"/>
      <c r="L310" s="3"/>
      <c r="M310" s="87" t="s">
        <v>432</v>
      </c>
      <c r="N310" s="3">
        <f t="shared" si="70"/>
        <v>0</v>
      </c>
      <c r="O310" s="3">
        <f t="shared" si="70"/>
        <v>0</v>
      </c>
      <c r="P310" s="3"/>
      <c r="Q310" s="3"/>
      <c r="R310" s="3"/>
      <c r="S310" s="3"/>
      <c r="T310" s="3"/>
      <c r="U310" s="3"/>
      <c r="V310" s="3"/>
      <c r="W310" s="3"/>
      <c r="X310" s="3">
        <f t="shared" si="71"/>
        <v>0</v>
      </c>
      <c r="Y310" s="3"/>
      <c r="Z310" s="3"/>
      <c r="AA310" s="3"/>
      <c r="AB310" s="3"/>
      <c r="AC310" s="3"/>
      <c r="AD310" s="3"/>
      <c r="AE310" s="3"/>
      <c r="AF310" s="3"/>
      <c r="AG310" s="3"/>
      <c r="AH310" s="3"/>
      <c r="AI310" s="3"/>
      <c r="AJ310" s="3"/>
      <c r="AK310" s="3"/>
      <c r="AL310" s="3"/>
      <c r="AM310" s="3"/>
      <c r="AN310" s="3"/>
      <c r="AO310" s="3"/>
      <c r="AP310" s="3"/>
      <c r="AQ310" s="3"/>
    </row>
    <row r="311" spans="1:43" ht="35.450000000000003" customHeight="1" thickBot="1">
      <c r="A311" s="72" t="s">
        <v>269</v>
      </c>
      <c r="B311" s="104"/>
      <c r="C311" s="64"/>
      <c r="D311" s="64"/>
      <c r="E311" s="64"/>
      <c r="F311" s="179"/>
      <c r="G311" s="64"/>
      <c r="H311" s="223"/>
      <c r="I311" s="210"/>
      <c r="J311" s="64"/>
      <c r="K311" s="208"/>
      <c r="L311" s="3"/>
      <c r="M311" s="87" t="s">
        <v>405</v>
      </c>
      <c r="N311" s="3"/>
      <c r="O311" s="3"/>
      <c r="P311" s="3"/>
      <c r="Q311" s="3"/>
      <c r="R311" s="3"/>
      <c r="S311" s="3"/>
      <c r="T311" s="3"/>
      <c r="U311" s="3"/>
      <c r="V311" s="3"/>
      <c r="W311" s="3"/>
      <c r="X311" s="3">
        <f t="shared" si="71"/>
        <v>642.19999999999993</v>
      </c>
      <c r="Y311" s="3"/>
      <c r="Z311" s="3">
        <v>635.79999999999995</v>
      </c>
      <c r="AA311" s="3"/>
      <c r="AB311" s="3">
        <v>6.4</v>
      </c>
      <c r="AC311" s="3"/>
      <c r="AD311" s="3"/>
      <c r="AE311" s="3"/>
      <c r="AF311" s="3"/>
      <c r="AG311" s="3"/>
      <c r="AH311" s="3"/>
      <c r="AI311" s="3"/>
      <c r="AJ311" s="3"/>
      <c r="AK311" s="3"/>
      <c r="AL311" s="3"/>
      <c r="AM311" s="3"/>
      <c r="AN311" s="3"/>
      <c r="AO311" s="3"/>
      <c r="AP311" s="3"/>
      <c r="AQ311" s="3"/>
    </row>
    <row r="312" spans="1:43" ht="35.450000000000003" customHeight="1" thickBot="1">
      <c r="A312" s="72" t="s">
        <v>269</v>
      </c>
      <c r="B312" s="104"/>
      <c r="C312" s="64"/>
      <c r="D312" s="64"/>
      <c r="E312" s="64"/>
      <c r="F312" s="179"/>
      <c r="G312" s="64"/>
      <c r="H312" s="223"/>
      <c r="I312" s="208"/>
      <c r="J312" s="210"/>
      <c r="K312" s="64"/>
      <c r="L312" s="3"/>
      <c r="M312" s="87" t="s">
        <v>434</v>
      </c>
      <c r="N312" s="3">
        <f t="shared" si="70"/>
        <v>60</v>
      </c>
      <c r="O312" s="3">
        <f t="shared" si="70"/>
        <v>60</v>
      </c>
      <c r="P312" s="3"/>
      <c r="Q312" s="3"/>
      <c r="R312" s="3"/>
      <c r="S312" s="3"/>
      <c r="T312" s="3"/>
      <c r="U312" s="3"/>
      <c r="V312" s="3">
        <f>54.7+5.3</f>
        <v>60</v>
      </c>
      <c r="W312" s="3">
        <v>60</v>
      </c>
      <c r="X312" s="3"/>
      <c r="Y312" s="3"/>
      <c r="Z312" s="3"/>
      <c r="AA312" s="3"/>
      <c r="AB312" s="3"/>
      <c r="AC312" s="3"/>
      <c r="AD312" s="3"/>
      <c r="AE312" s="3"/>
      <c r="AF312" s="3"/>
      <c r="AG312" s="3"/>
      <c r="AH312" s="3"/>
      <c r="AI312" s="3"/>
      <c r="AJ312" s="3"/>
      <c r="AK312" s="3"/>
      <c r="AL312" s="3"/>
      <c r="AM312" s="3"/>
      <c r="AN312" s="3"/>
      <c r="AO312" s="3"/>
      <c r="AP312" s="3"/>
      <c r="AQ312" s="3"/>
    </row>
    <row r="313" spans="1:43" ht="35.450000000000003" customHeight="1" thickBot="1">
      <c r="A313" s="72" t="s">
        <v>269</v>
      </c>
      <c r="B313" s="104"/>
      <c r="C313" s="64"/>
      <c r="D313" s="64"/>
      <c r="E313" s="64"/>
      <c r="F313" s="179"/>
      <c r="G313" s="64"/>
      <c r="H313" s="223"/>
      <c r="I313" s="210"/>
      <c r="J313" s="64"/>
      <c r="K313" s="208"/>
      <c r="L313" s="3"/>
      <c r="M313" s="87" t="s">
        <v>435</v>
      </c>
      <c r="N313" s="3">
        <f t="shared" si="70"/>
        <v>2246.7999999999997</v>
      </c>
      <c r="O313" s="3">
        <f t="shared" si="70"/>
        <v>2246.8000000000002</v>
      </c>
      <c r="P313" s="3"/>
      <c r="Q313" s="3"/>
      <c r="R313" s="3">
        <f>2113.2+133.6</f>
        <v>2246.7999999999997</v>
      </c>
      <c r="S313" s="3">
        <v>2246.8000000000002</v>
      </c>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row>
    <row r="314" spans="1:43" ht="35.450000000000003" customHeight="1" thickBot="1">
      <c r="A314" s="72" t="s">
        <v>269</v>
      </c>
      <c r="B314" s="104"/>
      <c r="C314" s="64"/>
      <c r="D314" s="64"/>
      <c r="E314" s="64"/>
      <c r="F314" s="179"/>
      <c r="G314" s="64"/>
      <c r="H314" s="223"/>
      <c r="I314" s="210"/>
      <c r="J314" s="64"/>
      <c r="K314" s="208"/>
      <c r="L314" s="3"/>
      <c r="M314" s="87" t="s">
        <v>436</v>
      </c>
      <c r="N314" s="3">
        <f t="shared" si="70"/>
        <v>3680.2</v>
      </c>
      <c r="O314" s="3">
        <f t="shared" si="70"/>
        <v>3680.2</v>
      </c>
      <c r="P314" s="3"/>
      <c r="Q314" s="3"/>
      <c r="R314" s="3">
        <f>3305.2+375</f>
        <v>3680.2</v>
      </c>
      <c r="S314" s="3">
        <v>3680.2</v>
      </c>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row>
    <row r="315" spans="1:43" ht="35.450000000000003" customHeight="1" thickBot="1">
      <c r="A315" s="72" t="s">
        <v>269</v>
      </c>
      <c r="B315" s="104"/>
      <c r="C315" s="64"/>
      <c r="D315" s="64"/>
      <c r="E315" s="64"/>
      <c r="F315" s="208"/>
      <c r="G315" s="64"/>
      <c r="H315" s="64"/>
      <c r="I315" s="4"/>
      <c r="J315" s="64"/>
      <c r="K315" s="208"/>
      <c r="L315" s="3"/>
      <c r="M315" s="87" t="s">
        <v>437</v>
      </c>
      <c r="N315" s="3"/>
      <c r="O315" s="3">
        <f t="shared" si="70"/>
        <v>0</v>
      </c>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row>
    <row r="316" spans="1:43" ht="35.450000000000003" customHeight="1" thickBot="1">
      <c r="A316" s="72" t="s">
        <v>438</v>
      </c>
      <c r="B316" s="104"/>
      <c r="C316" s="64"/>
      <c r="D316" s="64"/>
      <c r="E316" s="64"/>
      <c r="F316" s="208"/>
      <c r="G316" s="64"/>
      <c r="H316" s="64"/>
      <c r="I316" s="208" t="s">
        <v>439</v>
      </c>
      <c r="J316" s="64" t="s">
        <v>277</v>
      </c>
      <c r="K316" s="208"/>
      <c r="L316" s="3"/>
      <c r="M316" s="87" t="s">
        <v>440</v>
      </c>
      <c r="N316" s="3"/>
      <c r="O316" s="3">
        <f t="shared" ref="O316:O323" si="73">Q316+S316+U316+W316</f>
        <v>0</v>
      </c>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row>
    <row r="317" spans="1:43" ht="35.450000000000003" customHeight="1" thickBot="1">
      <c r="A317" s="72" t="s">
        <v>438</v>
      </c>
      <c r="B317" s="104"/>
      <c r="C317" s="64"/>
      <c r="D317" s="64"/>
      <c r="E317" s="64"/>
      <c r="F317" s="208"/>
      <c r="G317" s="64"/>
      <c r="H317" s="64"/>
      <c r="I317" s="4"/>
      <c r="J317" s="64"/>
      <c r="K317" s="208"/>
      <c r="L317" s="3"/>
      <c r="M317" s="87" t="s">
        <v>441</v>
      </c>
      <c r="N317" s="3"/>
      <c r="O317" s="3">
        <f t="shared" si="73"/>
        <v>0</v>
      </c>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row>
    <row r="318" spans="1:43" ht="35.450000000000003" customHeight="1" thickBot="1">
      <c r="A318" s="72" t="s">
        <v>438</v>
      </c>
      <c r="B318" s="104"/>
      <c r="C318" s="4"/>
      <c r="D318" s="4"/>
      <c r="E318" s="4"/>
      <c r="F318" s="131" t="s">
        <v>445</v>
      </c>
      <c r="G318" s="4" t="s">
        <v>446</v>
      </c>
      <c r="H318" s="4" t="s">
        <v>447</v>
      </c>
      <c r="I318" s="4"/>
      <c r="J318" s="4"/>
      <c r="K318" s="4"/>
      <c r="L318" s="3"/>
      <c r="M318" s="87" t="s">
        <v>448</v>
      </c>
      <c r="N318" s="3">
        <f>P318+R318+T318+V318</f>
        <v>1594.8000000000002</v>
      </c>
      <c r="O318" s="3">
        <f t="shared" si="73"/>
        <v>1594.8</v>
      </c>
      <c r="P318" s="3"/>
      <c r="Q318" s="3"/>
      <c r="R318" s="3"/>
      <c r="S318" s="3"/>
      <c r="T318" s="3"/>
      <c r="U318" s="3"/>
      <c r="V318" s="3">
        <f>1199.5+276.9+30+88.4</f>
        <v>1594.8000000000002</v>
      </c>
      <c r="W318" s="3">
        <v>1594.8</v>
      </c>
      <c r="X318" s="3">
        <f>Y318+Z318+AA318+AB318</f>
        <v>1719.7</v>
      </c>
      <c r="Y318" s="3"/>
      <c r="Z318" s="3"/>
      <c r="AA318" s="3"/>
      <c r="AB318" s="3">
        <f>1701.3+18.4</f>
        <v>1719.7</v>
      </c>
      <c r="AC318" s="3">
        <f>AD318+AE318+AF318+AG318</f>
        <v>2470.6999999999998</v>
      </c>
      <c r="AD318" s="3"/>
      <c r="AE318" s="3"/>
      <c r="AF318" s="3"/>
      <c r="AG318" s="3">
        <f>5970.7-3500</f>
        <v>2470.6999999999998</v>
      </c>
      <c r="AH318" s="3">
        <f t="shared" si="68"/>
        <v>2470.6999999999998</v>
      </c>
      <c r="AI318" s="3"/>
      <c r="AJ318" s="3"/>
      <c r="AK318" s="3"/>
      <c r="AL318" s="3">
        <f>5970.7-3500</f>
        <v>2470.6999999999998</v>
      </c>
      <c r="AM318" s="3">
        <f>AN318+AO318+AP318+AQ318</f>
        <v>2470.6999999999998</v>
      </c>
      <c r="AN318" s="3"/>
      <c r="AO318" s="3"/>
      <c r="AP318" s="3"/>
      <c r="AQ318" s="3">
        <f>5970.7-3500</f>
        <v>2470.6999999999998</v>
      </c>
    </row>
    <row r="319" spans="1:43" ht="35.450000000000003" customHeight="1" thickBot="1">
      <c r="A319" s="72" t="s">
        <v>438</v>
      </c>
      <c r="B319" s="104"/>
      <c r="C319" s="4"/>
      <c r="D319" s="4"/>
      <c r="E319" s="4"/>
      <c r="F319" s="236"/>
      <c r="G319" s="4"/>
      <c r="H319" s="4"/>
      <c r="I319" s="208" t="s">
        <v>1269</v>
      </c>
      <c r="J319" s="4" t="s">
        <v>277</v>
      </c>
      <c r="K319" s="4"/>
      <c r="L319" s="3"/>
      <c r="M319" s="87" t="s">
        <v>449</v>
      </c>
      <c r="N319" s="3">
        <f>P319+R319+T319+V319</f>
        <v>2563.1999999999998</v>
      </c>
      <c r="O319" s="3">
        <f t="shared" si="73"/>
        <v>2563.1999999999998</v>
      </c>
      <c r="P319" s="3"/>
      <c r="Q319" s="3"/>
      <c r="R319" s="3"/>
      <c r="S319" s="3"/>
      <c r="T319" s="3"/>
      <c r="U319" s="3"/>
      <c r="V319" s="3">
        <f>99+87.5+104+239.2+69.4+100+1863.9+0.2</f>
        <v>2563.1999999999998</v>
      </c>
      <c r="W319" s="3">
        <v>2563.1999999999998</v>
      </c>
      <c r="X319" s="3">
        <f>Y319+Z319+AA319+AB319</f>
        <v>6802.4999999999991</v>
      </c>
      <c r="Y319" s="3"/>
      <c r="Z319" s="3"/>
      <c r="AA319" s="3"/>
      <c r="AB319" s="3">
        <f>347.8+5142.9+789.2+320.2+202.4</f>
        <v>6802.4999999999991</v>
      </c>
      <c r="AC319" s="3">
        <f>AD319+AE319+AF319+AG319</f>
        <v>0</v>
      </c>
      <c r="AD319" s="3"/>
      <c r="AE319" s="3"/>
      <c r="AF319" s="3"/>
      <c r="AG319" s="3"/>
      <c r="AH319" s="3">
        <f t="shared" si="68"/>
        <v>0</v>
      </c>
      <c r="AI319" s="3"/>
      <c r="AJ319" s="3"/>
      <c r="AK319" s="3"/>
      <c r="AL319" s="3"/>
      <c r="AM319" s="3">
        <f>AN319+AO319+AP319+AQ319</f>
        <v>0</v>
      </c>
      <c r="AN319" s="3"/>
      <c r="AO319" s="3"/>
      <c r="AP319" s="3"/>
      <c r="AQ319" s="3"/>
    </row>
    <row r="320" spans="1:43" ht="35.450000000000003" customHeight="1" thickBot="1">
      <c r="A320" s="72" t="s">
        <v>438</v>
      </c>
      <c r="B320" s="104"/>
      <c r="C320" s="4"/>
      <c r="D320" s="4"/>
      <c r="E320" s="4"/>
      <c r="F320" s="95" t="s">
        <v>568</v>
      </c>
      <c r="G320" s="139" t="s">
        <v>277</v>
      </c>
      <c r="H320" s="139" t="s">
        <v>390</v>
      </c>
      <c r="I320" s="4"/>
      <c r="J320" s="4"/>
      <c r="K320" s="4"/>
      <c r="L320" s="3"/>
      <c r="M320" s="87" t="s">
        <v>450</v>
      </c>
      <c r="N320" s="3">
        <f>P320+R320+T320+V320</f>
        <v>762.2</v>
      </c>
      <c r="O320" s="3">
        <f t="shared" si="73"/>
        <v>762.2</v>
      </c>
      <c r="P320" s="3"/>
      <c r="Q320" s="3"/>
      <c r="R320" s="3"/>
      <c r="S320" s="3"/>
      <c r="T320" s="3"/>
      <c r="U320" s="3"/>
      <c r="V320" s="3">
        <f>729+33.2</f>
        <v>762.2</v>
      </c>
      <c r="W320" s="3">
        <v>762.2</v>
      </c>
      <c r="X320" s="3">
        <f>Y320+Z320+AA320+AB320</f>
        <v>883.3</v>
      </c>
      <c r="Y320" s="3"/>
      <c r="Z320" s="3"/>
      <c r="AA320" s="3"/>
      <c r="AB320" s="3">
        <v>883.3</v>
      </c>
      <c r="AC320" s="3">
        <f>AD320+AE320+AF320+AG320</f>
        <v>883.3</v>
      </c>
      <c r="AD320" s="3"/>
      <c r="AE320" s="3"/>
      <c r="AF320" s="3"/>
      <c r="AG320" s="3">
        <v>883.3</v>
      </c>
      <c r="AH320" s="3">
        <f t="shared" si="68"/>
        <v>883.3</v>
      </c>
      <c r="AI320" s="3"/>
      <c r="AJ320" s="3"/>
      <c r="AK320" s="3"/>
      <c r="AL320" s="3">
        <v>883.3</v>
      </c>
      <c r="AM320" s="3">
        <f>AN320+AO320+AP320+AQ320</f>
        <v>883.3</v>
      </c>
      <c r="AN320" s="3"/>
      <c r="AO320" s="3"/>
      <c r="AP320" s="3"/>
      <c r="AQ320" s="3">
        <v>883.3</v>
      </c>
    </row>
    <row r="321" spans="1:43" ht="35.450000000000003" customHeight="1" thickBot="1">
      <c r="A321" s="72" t="s">
        <v>438</v>
      </c>
      <c r="B321" s="104"/>
      <c r="C321" s="4"/>
      <c r="D321" s="4"/>
      <c r="E321" s="4"/>
      <c r="F321" s="236"/>
      <c r="G321" s="4"/>
      <c r="H321" s="4"/>
      <c r="I321" s="4"/>
      <c r="J321" s="4"/>
      <c r="K321" s="4"/>
      <c r="L321" s="3"/>
      <c r="M321" s="87" t="s">
        <v>451</v>
      </c>
      <c r="N321" s="3">
        <f>P321+R321+T321+V321</f>
        <v>40226.399999999994</v>
      </c>
      <c r="O321" s="3">
        <f t="shared" si="73"/>
        <v>40226.400000000001</v>
      </c>
      <c r="P321" s="3"/>
      <c r="Q321" s="3"/>
      <c r="R321" s="3">
        <v>6645</v>
      </c>
      <c r="S321" s="3">
        <v>6645</v>
      </c>
      <c r="T321" s="3"/>
      <c r="U321" s="3"/>
      <c r="V321" s="3">
        <f>31215.6+3967.4+350.9+2990.7-100-1863.9+3665.7-6645</f>
        <v>33581.399999999994</v>
      </c>
      <c r="W321" s="3">
        <f>40226.4-6645</f>
        <v>33581.4</v>
      </c>
      <c r="X321" s="3">
        <f>Y321+Z321+AA321+AB321</f>
        <v>49681.700000000012</v>
      </c>
      <c r="Y321" s="3"/>
      <c r="Z321" s="3"/>
      <c r="AA321" s="3"/>
      <c r="AB321" s="3">
        <f>41037+7504.3-320.2+1404.9+475.9-420.2</f>
        <v>49681.700000000012</v>
      </c>
      <c r="AC321" s="3">
        <f>AD321+AE321+AF321+AG321</f>
        <v>41037</v>
      </c>
      <c r="AD321" s="3"/>
      <c r="AE321" s="3"/>
      <c r="AF321" s="3"/>
      <c r="AG321" s="3">
        <v>41037</v>
      </c>
      <c r="AH321" s="3">
        <f t="shared" si="68"/>
        <v>41037</v>
      </c>
      <c r="AI321" s="3"/>
      <c r="AJ321" s="3"/>
      <c r="AK321" s="3"/>
      <c r="AL321" s="3">
        <v>41037</v>
      </c>
      <c r="AM321" s="3">
        <f>AN321+AO321+AP321+AQ321</f>
        <v>41037</v>
      </c>
      <c r="AN321" s="3"/>
      <c r="AO321" s="3"/>
      <c r="AP321" s="3"/>
      <c r="AQ321" s="3">
        <v>41037</v>
      </c>
    </row>
    <row r="322" spans="1:43" ht="35.450000000000003" customHeight="1" thickBot="1">
      <c r="A322" s="72" t="s">
        <v>438</v>
      </c>
      <c r="B322" s="104"/>
      <c r="C322" s="64"/>
      <c r="D322" s="64"/>
      <c r="E322" s="64"/>
      <c r="F322" s="179"/>
      <c r="G322" s="64"/>
      <c r="H322" s="223"/>
      <c r="I322" s="210" t="s">
        <v>418</v>
      </c>
      <c r="J322" s="64" t="s">
        <v>277</v>
      </c>
      <c r="K322" s="4"/>
      <c r="L322" s="3"/>
      <c r="M322" s="87" t="s">
        <v>452</v>
      </c>
      <c r="N322" s="3"/>
      <c r="O322" s="3">
        <f t="shared" si="73"/>
        <v>0</v>
      </c>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row>
    <row r="323" spans="1:43" ht="35.450000000000003" customHeight="1" thickBot="1">
      <c r="A323" s="72" t="s">
        <v>438</v>
      </c>
      <c r="B323" s="104"/>
      <c r="C323" s="64"/>
      <c r="D323" s="64"/>
      <c r="E323" s="64"/>
      <c r="F323" s="179"/>
      <c r="G323" s="64"/>
      <c r="H323" s="223"/>
      <c r="I323" s="210"/>
      <c r="J323" s="64"/>
      <c r="K323" s="4"/>
      <c r="L323" s="3"/>
      <c r="M323" s="87" t="s">
        <v>453</v>
      </c>
      <c r="N323" s="3"/>
      <c r="O323" s="3">
        <f t="shared" si="73"/>
        <v>0</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row>
    <row r="324" spans="1:43" ht="35.450000000000003" customHeight="1" thickBot="1">
      <c r="A324" s="76" t="s">
        <v>454</v>
      </c>
      <c r="B324" s="77">
        <v>2526</v>
      </c>
      <c r="C324" s="78"/>
      <c r="D324" s="5"/>
      <c r="E324" s="5"/>
      <c r="F324" s="5"/>
      <c r="G324" s="5"/>
      <c r="H324" s="5"/>
      <c r="I324" s="5"/>
      <c r="J324" s="5"/>
      <c r="K324" s="5"/>
      <c r="L324" s="5">
        <v>6</v>
      </c>
      <c r="M324" s="79"/>
      <c r="N324" s="126">
        <f t="shared" ref="N324:V324" si="74">N325+N326+N327+N330+N331+N333+N328+N329+N332</f>
        <v>0</v>
      </c>
      <c r="O324" s="126"/>
      <c r="P324" s="126">
        <f t="shared" si="74"/>
        <v>0</v>
      </c>
      <c r="Q324" s="126"/>
      <c r="R324" s="126">
        <f t="shared" si="74"/>
        <v>0</v>
      </c>
      <c r="S324" s="126"/>
      <c r="T324" s="126">
        <f t="shared" si="74"/>
        <v>0</v>
      </c>
      <c r="U324" s="126"/>
      <c r="V324" s="126">
        <f t="shared" si="74"/>
        <v>0</v>
      </c>
      <c r="W324" s="126"/>
      <c r="X324" s="126">
        <f t="shared" ref="X324:AQ324" si="75">X325+X326+X327+X330+X331+X333+X328+X329+X332</f>
        <v>0</v>
      </c>
      <c r="Y324" s="126">
        <f t="shared" si="75"/>
        <v>0</v>
      </c>
      <c r="Z324" s="126">
        <f t="shared" si="75"/>
        <v>0</v>
      </c>
      <c r="AA324" s="126">
        <f t="shared" si="75"/>
        <v>0</v>
      </c>
      <c r="AB324" s="126">
        <f t="shared" si="75"/>
        <v>0</v>
      </c>
      <c r="AC324" s="126">
        <f t="shared" si="75"/>
        <v>0</v>
      </c>
      <c r="AD324" s="126">
        <f t="shared" si="75"/>
        <v>0</v>
      </c>
      <c r="AE324" s="126">
        <f t="shared" si="75"/>
        <v>0</v>
      </c>
      <c r="AF324" s="126">
        <f t="shared" si="75"/>
        <v>0</v>
      </c>
      <c r="AG324" s="126">
        <f t="shared" si="75"/>
        <v>0</v>
      </c>
      <c r="AH324" s="126">
        <f t="shared" si="75"/>
        <v>0</v>
      </c>
      <c r="AI324" s="126">
        <f t="shared" si="75"/>
        <v>0</v>
      </c>
      <c r="AJ324" s="126">
        <f t="shared" si="75"/>
        <v>0</v>
      </c>
      <c r="AK324" s="126">
        <f t="shared" si="75"/>
        <v>0</v>
      </c>
      <c r="AL324" s="126">
        <f t="shared" si="75"/>
        <v>0</v>
      </c>
      <c r="AM324" s="126">
        <f t="shared" si="75"/>
        <v>0</v>
      </c>
      <c r="AN324" s="126">
        <f t="shared" si="75"/>
        <v>0</v>
      </c>
      <c r="AO324" s="126">
        <f t="shared" si="75"/>
        <v>0</v>
      </c>
      <c r="AP324" s="126">
        <f t="shared" si="75"/>
        <v>0</v>
      </c>
      <c r="AQ324" s="126">
        <f t="shared" si="75"/>
        <v>0</v>
      </c>
    </row>
    <row r="325" spans="1:43" ht="35.450000000000003" customHeight="1" thickBot="1">
      <c r="A325" s="72" t="s">
        <v>269</v>
      </c>
      <c r="B325" s="104"/>
      <c r="C325" s="118" t="s">
        <v>191</v>
      </c>
      <c r="D325" s="118" t="s">
        <v>270</v>
      </c>
      <c r="E325" s="118" t="s">
        <v>271</v>
      </c>
      <c r="F325" s="118" t="s">
        <v>455</v>
      </c>
      <c r="G325" s="118" t="s">
        <v>456</v>
      </c>
      <c r="H325" s="118" t="s">
        <v>457</v>
      </c>
      <c r="I325" s="107" t="s">
        <v>21</v>
      </c>
      <c r="J325" s="107" t="s">
        <v>274</v>
      </c>
      <c r="K325" s="109" t="s">
        <v>23</v>
      </c>
      <c r="L325" s="3"/>
      <c r="M325" s="87" t="s">
        <v>458</v>
      </c>
      <c r="N325" s="3">
        <f t="shared" ref="N325:N331" si="76">P325+R325+T325+V325</f>
        <v>0</v>
      </c>
      <c r="O325" s="3"/>
      <c r="P325" s="3"/>
      <c r="Q325" s="3"/>
      <c r="R325" s="3"/>
      <c r="S325" s="3"/>
      <c r="T325" s="3"/>
      <c r="U325" s="3"/>
      <c r="V325" s="3"/>
      <c r="W325" s="3"/>
      <c r="X325" s="3">
        <f>Y325+Z325+AA325+AB325</f>
        <v>0</v>
      </c>
      <c r="Y325" s="3"/>
      <c r="Z325" s="3"/>
      <c r="AA325" s="3"/>
      <c r="AB325" s="3"/>
      <c r="AC325" s="3">
        <f>AD325+AE325+AF325+AG325</f>
        <v>0</v>
      </c>
      <c r="AD325" s="3"/>
      <c r="AE325" s="3"/>
      <c r="AF325" s="3"/>
      <c r="AG325" s="3"/>
      <c r="AH325" s="3">
        <f>AI325+AJ325+AK325+AL325</f>
        <v>0</v>
      </c>
      <c r="AI325" s="3"/>
      <c r="AJ325" s="3"/>
      <c r="AK325" s="3"/>
      <c r="AL325" s="3"/>
      <c r="AM325" s="3">
        <f>AN325+AO325+AP325+AQ325</f>
        <v>0</v>
      </c>
      <c r="AN325" s="3"/>
      <c r="AO325" s="3"/>
      <c r="AP325" s="3"/>
      <c r="AQ325" s="3"/>
    </row>
    <row r="326" spans="1:43" ht="35.450000000000003" customHeight="1" thickBot="1">
      <c r="A326" s="72" t="s">
        <v>269</v>
      </c>
      <c r="B326" s="104"/>
      <c r="C326" s="64"/>
      <c r="D326" s="64"/>
      <c r="E326" s="64"/>
      <c r="F326" s="84" t="s">
        <v>272</v>
      </c>
      <c r="G326" s="84" t="s">
        <v>19</v>
      </c>
      <c r="H326" s="84" t="s">
        <v>273</v>
      </c>
      <c r="I326" s="208"/>
      <c r="J326" s="64"/>
      <c r="K326" s="131"/>
      <c r="L326" s="3"/>
      <c r="M326" s="87" t="s">
        <v>459</v>
      </c>
      <c r="N326" s="3">
        <f t="shared" si="76"/>
        <v>0</v>
      </c>
      <c r="O326" s="3"/>
      <c r="P326" s="3"/>
      <c r="Q326" s="3"/>
      <c r="R326" s="3"/>
      <c r="S326" s="3"/>
      <c r="T326" s="3"/>
      <c r="U326" s="3"/>
      <c r="V326" s="3"/>
      <c r="W326" s="3"/>
      <c r="X326" s="3">
        <f t="shared" ref="X326:X331" si="77">Y326+Z326+AA326+AB326</f>
        <v>0</v>
      </c>
      <c r="Y326" s="3"/>
      <c r="Z326" s="3"/>
      <c r="AA326" s="3"/>
      <c r="AB326" s="3"/>
      <c r="AC326" s="3">
        <f t="shared" ref="AC326:AC331" si="78">AD326+AE326+AF326+AG326</f>
        <v>0</v>
      </c>
      <c r="AD326" s="3"/>
      <c r="AE326" s="3"/>
      <c r="AF326" s="3"/>
      <c r="AG326" s="3"/>
      <c r="AH326" s="3">
        <f t="shared" ref="AH326:AH333" si="79">AI326+AJ326+AK326+AL326</f>
        <v>0</v>
      </c>
      <c r="AI326" s="3"/>
      <c r="AJ326" s="3"/>
      <c r="AK326" s="3"/>
      <c r="AL326" s="3"/>
      <c r="AM326" s="3">
        <f t="shared" ref="AM326:AM331" si="80">AN326+AO326+AP326+AQ326</f>
        <v>0</v>
      </c>
      <c r="AN326" s="3"/>
      <c r="AO326" s="3"/>
      <c r="AP326" s="3"/>
      <c r="AQ326" s="3"/>
    </row>
    <row r="327" spans="1:43" ht="35.450000000000003" customHeight="1" thickBot="1">
      <c r="A327" s="72" t="s">
        <v>269</v>
      </c>
      <c r="B327" s="104"/>
      <c r="C327" s="224"/>
      <c r="D327" s="64"/>
      <c r="E327" s="64"/>
      <c r="F327" s="131"/>
      <c r="G327" s="64"/>
      <c r="H327" s="131"/>
      <c r="I327" s="131"/>
      <c r="J327" s="64"/>
      <c r="K327" s="131"/>
      <c r="L327" s="3"/>
      <c r="M327" s="87" t="s">
        <v>460</v>
      </c>
      <c r="N327" s="3">
        <f t="shared" si="76"/>
        <v>0</v>
      </c>
      <c r="O327" s="3"/>
      <c r="P327" s="3"/>
      <c r="Q327" s="3"/>
      <c r="R327" s="3"/>
      <c r="S327" s="237"/>
      <c r="V327" s="3"/>
      <c r="W327" s="3"/>
      <c r="X327" s="3">
        <f t="shared" si="77"/>
        <v>0</v>
      </c>
      <c r="Y327" s="3"/>
      <c r="Z327" s="3"/>
      <c r="AB327" s="3"/>
      <c r="AC327" s="3">
        <f t="shared" si="78"/>
        <v>0</v>
      </c>
      <c r="AD327" s="3"/>
      <c r="AE327" s="3"/>
      <c r="AG327" s="3"/>
      <c r="AH327" s="3">
        <f t="shared" si="79"/>
        <v>0</v>
      </c>
      <c r="AI327" s="3"/>
      <c r="AJ327" s="3"/>
      <c r="AK327" s="3"/>
      <c r="AL327" s="3"/>
      <c r="AM327" s="3">
        <f t="shared" si="80"/>
        <v>0</v>
      </c>
      <c r="AN327" s="3"/>
      <c r="AO327" s="3"/>
      <c r="AP327" s="3"/>
      <c r="AQ327" s="3"/>
    </row>
    <row r="328" spans="1:43" ht="35.450000000000003" customHeight="1" thickBot="1">
      <c r="A328" s="72" t="s">
        <v>269</v>
      </c>
      <c r="B328" s="104"/>
      <c r="C328" s="224"/>
      <c r="D328" s="64"/>
      <c r="E328" s="64"/>
      <c r="F328" s="131"/>
      <c r="G328" s="64"/>
      <c r="H328" s="131"/>
      <c r="I328" s="209"/>
      <c r="J328" s="64"/>
      <c r="K328" s="238"/>
      <c r="L328" s="3"/>
      <c r="M328" s="87" t="s">
        <v>461</v>
      </c>
      <c r="N328" s="3">
        <f t="shared" si="76"/>
        <v>0</v>
      </c>
      <c r="O328" s="3"/>
      <c r="P328" s="3"/>
      <c r="Q328" s="3"/>
      <c r="R328" s="3"/>
      <c r="S328" s="237"/>
      <c r="V328" s="3"/>
      <c r="W328" s="3"/>
      <c r="X328" s="3">
        <f t="shared" si="77"/>
        <v>0</v>
      </c>
      <c r="Y328" s="3"/>
      <c r="Z328" s="3"/>
      <c r="AB328" s="3"/>
      <c r="AC328" s="3">
        <f t="shared" si="78"/>
        <v>0</v>
      </c>
      <c r="AD328" s="3"/>
      <c r="AE328" s="3"/>
      <c r="AG328" s="3"/>
      <c r="AH328" s="3">
        <f t="shared" si="79"/>
        <v>0</v>
      </c>
      <c r="AI328" s="3"/>
      <c r="AJ328" s="3"/>
      <c r="AK328" s="3"/>
      <c r="AL328" s="3"/>
      <c r="AM328" s="3">
        <f t="shared" si="80"/>
        <v>0</v>
      </c>
      <c r="AN328" s="3"/>
      <c r="AO328" s="3"/>
      <c r="AP328" s="3"/>
      <c r="AQ328" s="3"/>
    </row>
    <row r="329" spans="1:43" ht="35.450000000000003" customHeight="1" thickBot="1">
      <c r="A329" s="72" t="s">
        <v>269</v>
      </c>
      <c r="B329" s="104"/>
      <c r="C329" s="134"/>
      <c r="D329" s="64"/>
      <c r="E329" s="64"/>
      <c r="F329" s="131"/>
      <c r="G329" s="64"/>
      <c r="H329" s="131"/>
      <c r="I329" s="209"/>
      <c r="J329" s="64"/>
      <c r="K329" s="238"/>
      <c r="L329" s="3"/>
      <c r="M329" s="87" t="s">
        <v>462</v>
      </c>
      <c r="N329" s="3">
        <f t="shared" si="76"/>
        <v>0</v>
      </c>
      <c r="O329" s="3"/>
      <c r="P329" s="3"/>
      <c r="Q329" s="3"/>
      <c r="R329" s="3"/>
      <c r="S329" s="237"/>
      <c r="V329" s="3"/>
      <c r="W329" s="3"/>
      <c r="X329" s="3">
        <f t="shared" si="77"/>
        <v>0</v>
      </c>
      <c r="Y329" s="3"/>
      <c r="Z329" s="3"/>
      <c r="AB329" s="3"/>
      <c r="AC329" s="3">
        <f t="shared" si="78"/>
        <v>0</v>
      </c>
      <c r="AD329" s="3"/>
      <c r="AE329" s="3"/>
      <c r="AG329" s="3"/>
      <c r="AH329" s="3">
        <f t="shared" si="79"/>
        <v>0</v>
      </c>
      <c r="AI329" s="3"/>
      <c r="AJ329" s="3"/>
      <c r="AK329" s="3"/>
      <c r="AL329" s="3"/>
      <c r="AM329" s="3">
        <f t="shared" si="80"/>
        <v>0</v>
      </c>
      <c r="AN329" s="3"/>
      <c r="AO329" s="3"/>
      <c r="AP329" s="3"/>
      <c r="AQ329" s="3"/>
    </row>
    <row r="330" spans="1:43" ht="35.450000000000003" customHeight="1" thickBot="1">
      <c r="A330" s="72" t="s">
        <v>269</v>
      </c>
      <c r="B330" s="104"/>
      <c r="C330" s="64"/>
      <c r="D330" s="64"/>
      <c r="E330" s="64"/>
      <c r="F330" s="131"/>
      <c r="G330" s="64"/>
      <c r="H330" s="131"/>
      <c r="I330" s="208"/>
      <c r="J330" s="64"/>
      <c r="K330" s="131"/>
      <c r="L330" s="3"/>
      <c r="M330" s="87" t="s">
        <v>463</v>
      </c>
      <c r="N330" s="3">
        <f t="shared" si="76"/>
        <v>0</v>
      </c>
      <c r="O330" s="3"/>
      <c r="P330" s="3"/>
      <c r="Q330" s="3"/>
      <c r="R330" s="3"/>
      <c r="S330" s="3"/>
      <c r="T330" s="3"/>
      <c r="U330" s="3"/>
      <c r="V330" s="3"/>
      <c r="W330" s="3"/>
      <c r="X330" s="3">
        <f t="shared" si="77"/>
        <v>0</v>
      </c>
      <c r="Y330" s="3"/>
      <c r="Z330" s="3"/>
      <c r="AA330" s="3"/>
      <c r="AB330" s="3"/>
      <c r="AC330" s="3">
        <f t="shared" si="78"/>
        <v>0</v>
      </c>
      <c r="AD330" s="3"/>
      <c r="AE330" s="3"/>
      <c r="AF330" s="3"/>
      <c r="AG330" s="3"/>
      <c r="AH330" s="3">
        <f t="shared" si="79"/>
        <v>0</v>
      </c>
      <c r="AI330" s="3"/>
      <c r="AJ330" s="3"/>
      <c r="AK330" s="3"/>
      <c r="AL330" s="3"/>
      <c r="AM330" s="3">
        <f t="shared" si="80"/>
        <v>0</v>
      </c>
      <c r="AN330" s="3"/>
      <c r="AO330" s="3"/>
      <c r="AP330" s="3"/>
      <c r="AQ330" s="3"/>
    </row>
    <row r="331" spans="1:43" ht="35.450000000000003" customHeight="1" thickBot="1">
      <c r="A331" s="72" t="s">
        <v>269</v>
      </c>
      <c r="B331" s="104"/>
      <c r="C331" s="224"/>
      <c r="D331" s="64"/>
      <c r="E331" s="64"/>
      <c r="F331" s="131"/>
      <c r="G331" s="64"/>
      <c r="H331" s="131"/>
      <c r="I331" s="131"/>
      <c r="J331" s="64"/>
      <c r="K331" s="131"/>
      <c r="L331" s="3"/>
      <c r="M331" s="87" t="s">
        <v>464</v>
      </c>
      <c r="N331" s="3">
        <f t="shared" si="76"/>
        <v>0</v>
      </c>
      <c r="O331" s="3"/>
      <c r="P331" s="3"/>
      <c r="Q331" s="3"/>
      <c r="R331" s="3"/>
      <c r="S331" s="3"/>
      <c r="T331" s="3"/>
      <c r="U331" s="3"/>
      <c r="V331" s="3"/>
      <c r="W331" s="3"/>
      <c r="X331" s="3">
        <f t="shared" si="77"/>
        <v>0</v>
      </c>
      <c r="Y331" s="3"/>
      <c r="Z331" s="3"/>
      <c r="AA331" s="3"/>
      <c r="AB331" s="3"/>
      <c r="AC331" s="3">
        <f t="shared" si="78"/>
        <v>0</v>
      </c>
      <c r="AD331" s="3"/>
      <c r="AE331" s="3"/>
      <c r="AF331" s="3"/>
      <c r="AG331" s="3"/>
      <c r="AH331" s="3">
        <f t="shared" si="79"/>
        <v>0</v>
      </c>
      <c r="AI331" s="3"/>
      <c r="AJ331" s="3"/>
      <c r="AK331" s="3"/>
      <c r="AL331" s="3"/>
      <c r="AM331" s="3">
        <f t="shared" si="80"/>
        <v>0</v>
      </c>
      <c r="AN331" s="3"/>
      <c r="AO331" s="3"/>
      <c r="AP331" s="3"/>
      <c r="AQ331" s="3"/>
    </row>
    <row r="332" spans="1:43" ht="35.450000000000003" customHeight="1" thickBot="1">
      <c r="A332" s="72" t="s">
        <v>269</v>
      </c>
      <c r="B332" s="104"/>
      <c r="C332" s="224"/>
      <c r="D332" s="64"/>
      <c r="E332" s="64"/>
      <c r="F332" s="131"/>
      <c r="G332" s="64"/>
      <c r="H332" s="131"/>
      <c r="I332" s="209"/>
      <c r="J332" s="64"/>
      <c r="K332" s="131"/>
      <c r="L332" s="3"/>
      <c r="M332" s="87" t="s">
        <v>465</v>
      </c>
      <c r="N332" s="3"/>
      <c r="O332" s="3"/>
      <c r="P332" s="3"/>
      <c r="Q332" s="3"/>
      <c r="R332" s="3"/>
      <c r="S332" s="3"/>
      <c r="T332" s="3"/>
      <c r="U332" s="3"/>
      <c r="V332" s="3">
        <v>0</v>
      </c>
      <c r="W332" s="3"/>
      <c r="X332" s="3"/>
      <c r="Y332" s="3"/>
      <c r="Z332" s="3"/>
      <c r="AA332" s="3"/>
      <c r="AB332" s="3">
        <v>0</v>
      </c>
      <c r="AC332" s="3"/>
      <c r="AD332" s="3"/>
      <c r="AE332" s="3"/>
      <c r="AF332" s="3"/>
      <c r="AG332" s="3">
        <v>0</v>
      </c>
      <c r="AH332" s="3"/>
      <c r="AI332" s="3"/>
      <c r="AJ332" s="3"/>
      <c r="AK332" s="3"/>
      <c r="AL332" s="3">
        <v>0</v>
      </c>
      <c r="AM332" s="3"/>
      <c r="AN332" s="3"/>
      <c r="AO332" s="3"/>
      <c r="AP332" s="3"/>
      <c r="AQ332" s="3">
        <v>0</v>
      </c>
    </row>
    <row r="333" spans="1:43" ht="35.450000000000003" customHeight="1" thickBot="1">
      <c r="A333" s="72" t="s">
        <v>269</v>
      </c>
      <c r="B333" s="104"/>
      <c r="C333" s="224"/>
      <c r="D333" s="64"/>
      <c r="E333" s="64"/>
      <c r="F333" s="131"/>
      <c r="G333" s="64"/>
      <c r="H333" s="131"/>
      <c r="I333" s="209"/>
      <c r="J333" s="64"/>
      <c r="K333" s="131"/>
      <c r="L333" s="3"/>
      <c r="M333" s="87" t="s">
        <v>466</v>
      </c>
      <c r="N333" s="3">
        <f>P333+R333+T333+V333</f>
        <v>0</v>
      </c>
      <c r="O333" s="3"/>
      <c r="P333" s="3"/>
      <c r="Q333" s="3"/>
      <c r="R333" s="3"/>
      <c r="S333" s="3"/>
      <c r="T333" s="3"/>
      <c r="U333" s="3"/>
      <c r="V333" s="3"/>
      <c r="W333" s="3"/>
      <c r="X333" s="3">
        <f>Y333+Z333+AA333+AB333</f>
        <v>0</v>
      </c>
      <c r="Y333" s="3"/>
      <c r="Z333" s="3"/>
      <c r="AA333" s="3"/>
      <c r="AB333" s="3"/>
      <c r="AC333" s="3">
        <f>AD333+AE333+AF333+AG333</f>
        <v>0</v>
      </c>
      <c r="AD333" s="3"/>
      <c r="AE333" s="3"/>
      <c r="AF333" s="3"/>
      <c r="AG333" s="3"/>
      <c r="AH333" s="3">
        <f t="shared" si="79"/>
        <v>0</v>
      </c>
      <c r="AI333" s="3"/>
      <c r="AJ333" s="3"/>
      <c r="AK333" s="3"/>
      <c r="AL333" s="3"/>
      <c r="AM333" s="3">
        <f>AN333+AO333+AP333+AQ333</f>
        <v>0</v>
      </c>
      <c r="AN333" s="3"/>
      <c r="AO333" s="3"/>
      <c r="AP333" s="3"/>
      <c r="AQ333" s="3"/>
    </row>
    <row r="334" spans="1:43" ht="35.450000000000003" customHeight="1" thickBot="1">
      <c r="A334" s="76" t="s">
        <v>467</v>
      </c>
      <c r="B334" s="77">
        <v>2527</v>
      </c>
      <c r="C334" s="78"/>
      <c r="D334" s="5"/>
      <c r="E334" s="5"/>
      <c r="F334" s="5"/>
      <c r="G334" s="5"/>
      <c r="H334" s="5"/>
      <c r="I334" s="5"/>
      <c r="J334" s="5"/>
      <c r="K334" s="5"/>
      <c r="L334" s="5">
        <v>6</v>
      </c>
      <c r="M334" s="5"/>
      <c r="N334" s="126">
        <f>N335+N336+N337+N338+N339+N340+N343+N345+N346+N347+N341</f>
        <v>65354</v>
      </c>
      <c r="O334" s="126">
        <f>O335+O336+O337+O338+O339+O340+O343+O345+O346+O347+O341</f>
        <v>64790.399999999994</v>
      </c>
      <c r="P334" s="126">
        <f t="shared" ref="P334:W334" si="81">P335+P336+P337+P338+P339+P340+P343+P345+P346+P347+P341</f>
        <v>0</v>
      </c>
      <c r="Q334" s="126">
        <f t="shared" si="81"/>
        <v>0</v>
      </c>
      <c r="R334" s="126">
        <f t="shared" si="81"/>
        <v>5596.9</v>
      </c>
      <c r="S334" s="126">
        <f t="shared" si="81"/>
        <v>5498.9</v>
      </c>
      <c r="T334" s="126">
        <f t="shared" si="81"/>
        <v>0</v>
      </c>
      <c r="U334" s="126">
        <f t="shared" si="81"/>
        <v>0</v>
      </c>
      <c r="V334" s="126">
        <f t="shared" si="81"/>
        <v>59757.1</v>
      </c>
      <c r="W334" s="126">
        <f t="shared" si="81"/>
        <v>59291.5</v>
      </c>
      <c r="X334" s="126">
        <f t="shared" ref="X334:AQ334" si="82">X335+X336+X337+X338+X339+X340+X343+X345+X346+X347</f>
        <v>75181.8</v>
      </c>
      <c r="Y334" s="126">
        <f t="shared" si="82"/>
        <v>0</v>
      </c>
      <c r="Z334" s="126">
        <f t="shared" si="82"/>
        <v>0</v>
      </c>
      <c r="AA334" s="126">
        <f t="shared" si="82"/>
        <v>0</v>
      </c>
      <c r="AB334" s="126">
        <f t="shared" si="82"/>
        <v>75181.8</v>
      </c>
      <c r="AC334" s="126">
        <f t="shared" si="82"/>
        <v>67116.400000000009</v>
      </c>
      <c r="AD334" s="126">
        <f t="shared" si="82"/>
        <v>0</v>
      </c>
      <c r="AE334" s="126">
        <f t="shared" si="82"/>
        <v>0</v>
      </c>
      <c r="AF334" s="126">
        <f t="shared" si="82"/>
        <v>0</v>
      </c>
      <c r="AG334" s="126">
        <f t="shared" si="82"/>
        <v>67116.400000000009</v>
      </c>
      <c r="AH334" s="126">
        <f t="shared" si="82"/>
        <v>67116.400000000009</v>
      </c>
      <c r="AI334" s="126">
        <f t="shared" si="82"/>
        <v>0</v>
      </c>
      <c r="AJ334" s="126">
        <f t="shared" si="82"/>
        <v>0</v>
      </c>
      <c r="AK334" s="126">
        <f t="shared" si="82"/>
        <v>0</v>
      </c>
      <c r="AL334" s="126">
        <f t="shared" si="82"/>
        <v>67116.400000000009</v>
      </c>
      <c r="AM334" s="126">
        <f t="shared" si="82"/>
        <v>67116.400000000009</v>
      </c>
      <c r="AN334" s="126">
        <f t="shared" si="82"/>
        <v>0</v>
      </c>
      <c r="AO334" s="126">
        <f t="shared" si="82"/>
        <v>0</v>
      </c>
      <c r="AP334" s="126">
        <f t="shared" si="82"/>
        <v>0</v>
      </c>
      <c r="AQ334" s="126">
        <f t="shared" si="82"/>
        <v>67116.400000000009</v>
      </c>
    </row>
    <row r="335" spans="1:43" ht="35.450000000000003" customHeight="1" thickBot="1">
      <c r="A335" s="72" t="s">
        <v>468</v>
      </c>
      <c r="B335" s="104"/>
      <c r="C335" s="118" t="s">
        <v>191</v>
      </c>
      <c r="D335" s="118" t="s">
        <v>270</v>
      </c>
      <c r="E335" s="118" t="s">
        <v>271</v>
      </c>
      <c r="F335" s="84" t="s">
        <v>272</v>
      </c>
      <c r="G335" s="84" t="s">
        <v>19</v>
      </c>
      <c r="H335" s="84" t="s">
        <v>273</v>
      </c>
      <c r="I335" s="107" t="s">
        <v>21</v>
      </c>
      <c r="J335" s="107" t="s">
        <v>274</v>
      </c>
      <c r="K335" s="109" t="s">
        <v>23</v>
      </c>
      <c r="L335" s="3"/>
      <c r="M335" s="87" t="s">
        <v>469</v>
      </c>
      <c r="N335" s="3">
        <f t="shared" ref="N335:O347" si="83">P335+R335+T335+V335</f>
        <v>24434.1</v>
      </c>
      <c r="O335" s="3">
        <f>Q335+S335+U335+W335</f>
        <v>24306.5</v>
      </c>
      <c r="P335" s="3"/>
      <c r="Q335" s="3"/>
      <c r="R335" s="3">
        <v>2287.3000000000002</v>
      </c>
      <c r="S335" s="3">
        <v>2287.3000000000002</v>
      </c>
      <c r="T335" s="3"/>
      <c r="U335" s="3"/>
      <c r="V335" s="3">
        <f>24434.1-2287.3</f>
        <v>22146.799999999999</v>
      </c>
      <c r="W335" s="3">
        <f>24306.5-2287.3</f>
        <v>22019.200000000001</v>
      </c>
      <c r="X335" s="3">
        <f>Y335+Z335+AA335+AB335</f>
        <v>29735.300000000003</v>
      </c>
      <c r="Y335" s="3"/>
      <c r="Z335" s="3"/>
      <c r="AA335" s="3"/>
      <c r="AB335" s="3">
        <f>25938.4+3287.6+57.4+130+90+452-220.1</f>
        <v>29735.300000000003</v>
      </c>
      <c r="AC335" s="3">
        <f>AD335+AE335+AF335+AG335</f>
        <v>25938.400000000001</v>
      </c>
      <c r="AD335" s="3"/>
      <c r="AE335" s="3"/>
      <c r="AF335" s="3"/>
      <c r="AG335" s="3">
        <v>25938.400000000001</v>
      </c>
      <c r="AH335" s="3">
        <f t="shared" ref="AH335:AH343" si="84">AI335+AJ335+AK335+AL335</f>
        <v>25938.400000000001</v>
      </c>
      <c r="AI335" s="3"/>
      <c r="AJ335" s="3"/>
      <c r="AK335" s="3"/>
      <c r="AL335" s="3">
        <v>25938.400000000001</v>
      </c>
      <c r="AM335" s="3">
        <f>AN335+AO335+AP335+AQ335</f>
        <v>25938.400000000001</v>
      </c>
      <c r="AN335" s="3"/>
      <c r="AO335" s="3"/>
      <c r="AP335" s="3"/>
      <c r="AQ335" s="3">
        <v>25938.400000000001</v>
      </c>
    </row>
    <row r="336" spans="1:43" ht="35.450000000000003" customHeight="1" thickBot="1">
      <c r="A336" s="72" t="s">
        <v>468</v>
      </c>
      <c r="B336" s="104"/>
      <c r="C336" s="224"/>
      <c r="D336" s="64"/>
      <c r="E336" s="64"/>
      <c r="F336" s="64"/>
      <c r="G336" s="64"/>
      <c r="H336" s="64"/>
      <c r="I336" s="239" t="s">
        <v>1282</v>
      </c>
      <c r="J336" s="64" t="s">
        <v>277</v>
      </c>
      <c r="K336" s="208"/>
      <c r="L336" s="3"/>
      <c r="M336" s="87" t="s">
        <v>470</v>
      </c>
      <c r="N336" s="3">
        <f t="shared" si="83"/>
        <v>4518</v>
      </c>
      <c r="O336" s="3">
        <f t="shared" si="83"/>
        <v>4359.6000000000004</v>
      </c>
      <c r="P336" s="3"/>
      <c r="Q336" s="3"/>
      <c r="R336" s="3"/>
      <c r="S336" s="3"/>
      <c r="T336" s="3"/>
      <c r="U336" s="3"/>
      <c r="V336" s="3">
        <v>4518</v>
      </c>
      <c r="W336" s="3">
        <v>4359.6000000000004</v>
      </c>
      <c r="X336" s="3">
        <f>Y336+Z336+AA336+AB336</f>
        <v>5401.6</v>
      </c>
      <c r="Y336" s="3"/>
      <c r="Z336" s="3"/>
      <c r="AA336" s="3"/>
      <c r="AB336" s="3">
        <f>4712.4+8.8+60+470.6-68-1.2+220-1</f>
        <v>5401.6</v>
      </c>
      <c r="AC336" s="3">
        <f>AD336+AE336+AF336+AG336</f>
        <v>4866</v>
      </c>
      <c r="AD336" s="3"/>
      <c r="AE336" s="3"/>
      <c r="AF336" s="3"/>
      <c r="AG336" s="3">
        <v>4866</v>
      </c>
      <c r="AH336" s="3">
        <f t="shared" si="84"/>
        <v>4866</v>
      </c>
      <c r="AI336" s="3"/>
      <c r="AJ336" s="3"/>
      <c r="AK336" s="3"/>
      <c r="AL336" s="3">
        <v>4866</v>
      </c>
      <c r="AM336" s="3">
        <f>AN336+AO336+AP336+AQ336</f>
        <v>4866</v>
      </c>
      <c r="AN336" s="3"/>
      <c r="AO336" s="3"/>
      <c r="AP336" s="3"/>
      <c r="AQ336" s="3">
        <v>4866</v>
      </c>
    </row>
    <row r="337" spans="1:43" ht="35.450000000000003" customHeight="1" thickBot="1">
      <c r="A337" s="72" t="s">
        <v>468</v>
      </c>
      <c r="B337" s="104"/>
      <c r="C337" s="224"/>
      <c r="D337" s="64"/>
      <c r="E337" s="64"/>
      <c r="F337" s="64"/>
      <c r="G337" s="64"/>
      <c r="H337" s="64"/>
      <c r="I337" s="209"/>
      <c r="J337" s="64"/>
      <c r="K337" s="208"/>
      <c r="L337" s="3"/>
      <c r="M337" s="87" t="s">
        <v>471</v>
      </c>
      <c r="N337" s="3">
        <f t="shared" si="83"/>
        <v>993</v>
      </c>
      <c r="O337" s="3">
        <f t="shared" si="83"/>
        <v>862.6</v>
      </c>
      <c r="P337" s="3"/>
      <c r="Q337" s="3"/>
      <c r="R337" s="3"/>
      <c r="S337" s="3"/>
      <c r="T337" s="3"/>
      <c r="U337" s="3"/>
      <c r="V337" s="3">
        <f>978.9+79.1+35-100</f>
        <v>993</v>
      </c>
      <c r="W337" s="3">
        <v>862.6</v>
      </c>
      <c r="X337" s="3">
        <f>Y337+Z337+AA337+AB337</f>
        <v>1068.2</v>
      </c>
      <c r="Y337" s="3"/>
      <c r="Z337" s="3"/>
      <c r="AA337" s="3"/>
      <c r="AB337" s="3">
        <v>1068.2</v>
      </c>
      <c r="AC337" s="3">
        <f>AD337+AE337+AF337+AG337</f>
        <v>1068.2</v>
      </c>
      <c r="AD337" s="3"/>
      <c r="AE337" s="3"/>
      <c r="AF337" s="3"/>
      <c r="AG337" s="3">
        <v>1068.2</v>
      </c>
      <c r="AH337" s="3">
        <f t="shared" si="84"/>
        <v>1068.2</v>
      </c>
      <c r="AI337" s="3"/>
      <c r="AJ337" s="3"/>
      <c r="AK337" s="3"/>
      <c r="AL337" s="3">
        <v>1068.2</v>
      </c>
      <c r="AM337" s="3">
        <f>AN337+AO337+AP337+AQ337</f>
        <v>1068.2</v>
      </c>
      <c r="AN337" s="3"/>
      <c r="AO337" s="3"/>
      <c r="AP337" s="3"/>
      <c r="AQ337" s="3">
        <v>1068.2</v>
      </c>
    </row>
    <row r="338" spans="1:43" ht="35.450000000000003" customHeight="1" thickBot="1">
      <c r="A338" s="72" t="s">
        <v>468</v>
      </c>
      <c r="B338" s="104"/>
      <c r="C338" s="224"/>
      <c r="D338" s="64"/>
      <c r="E338" s="64"/>
      <c r="F338" s="64"/>
      <c r="G338" s="64"/>
      <c r="H338" s="64"/>
      <c r="I338" s="209"/>
      <c r="J338" s="64"/>
      <c r="K338" s="208"/>
      <c r="L338" s="3"/>
      <c r="M338" s="87" t="s">
        <v>472</v>
      </c>
      <c r="N338" s="3">
        <f t="shared" si="83"/>
        <v>0</v>
      </c>
      <c r="O338" s="3">
        <f t="shared" si="83"/>
        <v>0</v>
      </c>
      <c r="P338" s="3"/>
      <c r="Q338" s="3"/>
      <c r="R338" s="3"/>
      <c r="S338" s="3"/>
      <c r="T338" s="3"/>
      <c r="U338" s="3"/>
      <c r="V338" s="3">
        <v>0</v>
      </c>
      <c r="W338" s="3"/>
      <c r="X338" s="3">
        <f>Y338+Z338+AA338+AB338</f>
        <v>0</v>
      </c>
      <c r="Y338" s="3"/>
      <c r="Z338" s="3"/>
      <c r="AA338" s="3"/>
      <c r="AB338" s="3">
        <v>0</v>
      </c>
      <c r="AC338" s="3">
        <f>AD338+AE338+AF338+AG338</f>
        <v>0</v>
      </c>
      <c r="AD338" s="3"/>
      <c r="AE338" s="3"/>
      <c r="AF338" s="3"/>
      <c r="AG338" s="3">
        <v>0</v>
      </c>
      <c r="AH338" s="3">
        <f t="shared" si="84"/>
        <v>0</v>
      </c>
      <c r="AI338" s="3"/>
      <c r="AJ338" s="3"/>
      <c r="AK338" s="3"/>
      <c r="AL338" s="3">
        <v>0</v>
      </c>
      <c r="AM338" s="3">
        <f>AN338+AO338+AP338+AQ338</f>
        <v>0</v>
      </c>
      <c r="AN338" s="3"/>
      <c r="AO338" s="3"/>
      <c r="AP338" s="3"/>
      <c r="AQ338" s="3">
        <v>0</v>
      </c>
    </row>
    <row r="339" spans="1:43" ht="35.450000000000003" customHeight="1" thickBot="1">
      <c r="A339" s="72" t="s">
        <v>468</v>
      </c>
      <c r="B339" s="104"/>
      <c r="C339" s="224"/>
      <c r="D339" s="64"/>
      <c r="E339" s="64"/>
      <c r="F339" s="64"/>
      <c r="G339" s="64"/>
      <c r="H339" s="64"/>
      <c r="I339" s="209"/>
      <c r="J339" s="64"/>
      <c r="K339" s="208"/>
      <c r="L339" s="3"/>
      <c r="M339" s="87" t="s">
        <v>473</v>
      </c>
      <c r="N339" s="3">
        <f t="shared" si="83"/>
        <v>336.5</v>
      </c>
      <c r="O339" s="3">
        <f t="shared" si="83"/>
        <v>336.5</v>
      </c>
      <c r="P339" s="3"/>
      <c r="Q339" s="3"/>
      <c r="R339" s="3"/>
      <c r="S339" s="3"/>
      <c r="T339" s="3"/>
      <c r="U339" s="3"/>
      <c r="V339" s="3">
        <f>287.9+81.5-32.9</f>
        <v>336.5</v>
      </c>
      <c r="W339" s="3">
        <v>336.5</v>
      </c>
      <c r="X339" s="3">
        <f>Y339+Z339+AA339+AB339</f>
        <v>437.4</v>
      </c>
      <c r="Y339" s="3"/>
      <c r="Z339" s="3"/>
      <c r="AA339" s="3"/>
      <c r="AB339" s="3">
        <f>369.4+68</f>
        <v>437.4</v>
      </c>
      <c r="AC339" s="3">
        <f>AD339+AE339+AF339+AG339</f>
        <v>369.4</v>
      </c>
      <c r="AD339" s="3"/>
      <c r="AE339" s="3"/>
      <c r="AF339" s="3"/>
      <c r="AG339" s="3">
        <v>369.4</v>
      </c>
      <c r="AH339" s="3">
        <f t="shared" si="84"/>
        <v>369.4</v>
      </c>
      <c r="AI339" s="3"/>
      <c r="AJ339" s="3"/>
      <c r="AK339" s="3"/>
      <c r="AL339" s="3">
        <v>369.4</v>
      </c>
      <c r="AM339" s="3">
        <f>AN339+AO339+AP339+AQ339</f>
        <v>369.4</v>
      </c>
      <c r="AN339" s="3"/>
      <c r="AO339" s="3"/>
      <c r="AP339" s="3"/>
      <c r="AQ339" s="3">
        <v>369.4</v>
      </c>
    </row>
    <row r="340" spans="1:43" ht="35.450000000000003" customHeight="1" thickBot="1">
      <c r="A340" s="72" t="s">
        <v>468</v>
      </c>
      <c r="B340" s="104"/>
      <c r="C340" s="224"/>
      <c r="D340" s="64"/>
      <c r="E340" s="64"/>
      <c r="F340" s="64"/>
      <c r="G340" s="64"/>
      <c r="H340" s="64"/>
      <c r="I340" s="209"/>
      <c r="J340" s="64"/>
      <c r="K340" s="208"/>
      <c r="L340" s="3"/>
      <c r="M340" s="87" t="s">
        <v>474</v>
      </c>
      <c r="N340" s="3">
        <f t="shared" si="83"/>
        <v>0</v>
      </c>
      <c r="O340" s="3">
        <f t="shared" si="83"/>
        <v>0</v>
      </c>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row>
    <row r="341" spans="1:43" ht="35.450000000000003" customHeight="1" thickBot="1">
      <c r="A341" s="72" t="s">
        <v>468</v>
      </c>
      <c r="B341" s="104"/>
      <c r="C341" s="224"/>
      <c r="D341" s="64"/>
      <c r="E341" s="64"/>
      <c r="I341" s="209"/>
      <c r="J341" s="64"/>
      <c r="K341" s="208"/>
      <c r="L341" s="3"/>
      <c r="M341" s="87" t="s">
        <v>475</v>
      </c>
      <c r="N341" s="3">
        <f t="shared" si="83"/>
        <v>576</v>
      </c>
      <c r="O341" s="3">
        <f t="shared" si="83"/>
        <v>478</v>
      </c>
      <c r="P341" s="3"/>
      <c r="Q341" s="3"/>
      <c r="R341" s="3">
        <f>766.7-190.7</f>
        <v>576</v>
      </c>
      <c r="S341" s="3">
        <v>478</v>
      </c>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row>
    <row r="342" spans="1:43" ht="35.450000000000003" customHeight="1" thickBot="1">
      <c r="A342" s="72" t="s">
        <v>468</v>
      </c>
      <c r="B342" s="104"/>
      <c r="C342" s="224"/>
      <c r="D342" s="64"/>
      <c r="E342" s="64"/>
      <c r="F342" s="64"/>
      <c r="G342" s="64"/>
      <c r="H342" s="64"/>
      <c r="I342" s="209"/>
      <c r="J342" s="64"/>
      <c r="K342" s="208"/>
      <c r="L342" s="3"/>
      <c r="M342" s="87" t="s">
        <v>476</v>
      </c>
      <c r="N342" s="3"/>
      <c r="O342" s="3">
        <f t="shared" si="83"/>
        <v>0</v>
      </c>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row>
    <row r="343" spans="1:43" ht="35.450000000000003" customHeight="1" thickBot="1">
      <c r="A343" s="72" t="s">
        <v>468</v>
      </c>
      <c r="B343" s="104"/>
      <c r="C343" s="224"/>
      <c r="D343" s="64"/>
      <c r="E343" s="64"/>
      <c r="F343" s="64"/>
      <c r="G343" s="64"/>
      <c r="H343" s="4"/>
      <c r="I343" s="209"/>
      <c r="J343" s="64"/>
      <c r="K343" s="208"/>
      <c r="L343" s="3"/>
      <c r="M343" s="87" t="s">
        <v>477</v>
      </c>
      <c r="N343" s="3">
        <f>P343+R343+T343+V343</f>
        <v>42.1</v>
      </c>
      <c r="O343" s="3">
        <f t="shared" si="83"/>
        <v>35.299999999999997</v>
      </c>
      <c r="P343" s="3"/>
      <c r="Q343" s="3"/>
      <c r="R343" s="3"/>
      <c r="S343" s="3"/>
      <c r="T343" s="3"/>
      <c r="U343" s="3"/>
      <c r="V343" s="3">
        <f>5+33.9+3.2</f>
        <v>42.1</v>
      </c>
      <c r="W343" s="3">
        <v>35.299999999999997</v>
      </c>
      <c r="X343" s="3">
        <f>Y343+Z343+AA343+AB343</f>
        <v>7.2</v>
      </c>
      <c r="Y343" s="3"/>
      <c r="Z343" s="3"/>
      <c r="AA343" s="3"/>
      <c r="AB343" s="3">
        <f>5+1.2+1</f>
        <v>7.2</v>
      </c>
      <c r="AC343" s="3">
        <f>AD343+AE343+AF343+AG343</f>
        <v>5</v>
      </c>
      <c r="AD343" s="3"/>
      <c r="AE343" s="3"/>
      <c r="AF343" s="3"/>
      <c r="AG343" s="3">
        <v>5</v>
      </c>
      <c r="AH343" s="3">
        <f t="shared" si="84"/>
        <v>5</v>
      </c>
      <c r="AI343" s="3"/>
      <c r="AJ343" s="3"/>
      <c r="AK343" s="3"/>
      <c r="AL343" s="3">
        <v>5</v>
      </c>
      <c r="AM343" s="3">
        <f>AN343+AO343+AP343+AQ343</f>
        <v>5</v>
      </c>
      <c r="AN343" s="3"/>
      <c r="AO343" s="3"/>
      <c r="AP343" s="3"/>
      <c r="AQ343" s="3">
        <v>5</v>
      </c>
    </row>
    <row r="344" spans="1:43" ht="35.450000000000003" customHeight="1" thickBot="1">
      <c r="A344" s="72" t="s">
        <v>478</v>
      </c>
      <c r="B344" s="80"/>
      <c r="C344" s="129"/>
      <c r="D344" s="130"/>
      <c r="E344" s="130"/>
      <c r="F344" s="135"/>
      <c r="G344" s="135"/>
      <c r="H344" s="154"/>
      <c r="I344" s="214"/>
      <c r="J344" s="130"/>
      <c r="K344" s="208"/>
      <c r="L344" s="3"/>
      <c r="M344" s="87" t="s">
        <v>476</v>
      </c>
      <c r="N344" s="3"/>
      <c r="O344" s="3">
        <f t="shared" si="83"/>
        <v>0</v>
      </c>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row>
    <row r="345" spans="1:43" ht="35.450000000000003" customHeight="1" thickBot="1">
      <c r="A345" s="72" t="s">
        <v>478</v>
      </c>
      <c r="B345" s="80"/>
      <c r="C345" s="111"/>
      <c r="D345" s="111"/>
      <c r="E345" s="111"/>
      <c r="F345" s="102" t="s">
        <v>479</v>
      </c>
      <c r="G345" s="102" t="s">
        <v>480</v>
      </c>
      <c r="H345" s="102" t="s">
        <v>481</v>
      </c>
      <c r="I345" s="64" t="s">
        <v>1251</v>
      </c>
      <c r="J345" s="64" t="s">
        <v>277</v>
      </c>
      <c r="K345" s="64" t="s">
        <v>1252</v>
      </c>
      <c r="L345" s="3"/>
      <c r="M345" s="87" t="s">
        <v>469</v>
      </c>
      <c r="N345" s="3">
        <f>P345+R345+T345+V345</f>
        <v>31834.600000000002</v>
      </c>
      <c r="O345" s="3">
        <f t="shared" si="83"/>
        <v>31809.7</v>
      </c>
      <c r="P345" s="3"/>
      <c r="Q345" s="3"/>
      <c r="R345" s="3">
        <v>2733.6</v>
      </c>
      <c r="S345" s="3">
        <v>2733.6</v>
      </c>
      <c r="T345" s="3"/>
      <c r="U345" s="3"/>
      <c r="V345" s="3">
        <f>27662.4+3583.9+588.3-2733.6</f>
        <v>29101.000000000004</v>
      </c>
      <c r="W345" s="3">
        <f>31809.7-2733.6</f>
        <v>29076.100000000002</v>
      </c>
      <c r="X345" s="3">
        <f>Y345+Z345+AA345+AB345</f>
        <v>35534.400000000001</v>
      </c>
      <c r="Y345" s="3"/>
      <c r="Z345" s="3"/>
      <c r="AA345" s="3"/>
      <c r="AB345" s="3">
        <f>32058.8+2339.8+940+150.4+45.4</f>
        <v>35534.400000000001</v>
      </c>
      <c r="AC345" s="3">
        <f>AD345+AE345+AF345+AG345</f>
        <v>32058.799999999999</v>
      </c>
      <c r="AD345" s="3"/>
      <c r="AE345" s="3"/>
      <c r="AF345" s="3"/>
      <c r="AG345" s="3">
        <v>32058.799999999999</v>
      </c>
      <c r="AH345" s="3">
        <f>AI345+AJ345+AK345+AL345</f>
        <v>32058.799999999999</v>
      </c>
      <c r="AI345" s="3"/>
      <c r="AJ345" s="3"/>
      <c r="AK345" s="3"/>
      <c r="AL345" s="3">
        <v>32058.799999999999</v>
      </c>
      <c r="AM345" s="3">
        <f>AN345+AO345+AP345+AQ345</f>
        <v>32058.799999999999</v>
      </c>
      <c r="AN345" s="3"/>
      <c r="AO345" s="3"/>
      <c r="AP345" s="3"/>
      <c r="AQ345" s="3">
        <v>32058.799999999999</v>
      </c>
    </row>
    <row r="346" spans="1:43" ht="35.450000000000003" customHeight="1" thickBot="1">
      <c r="A346" s="72" t="s">
        <v>478</v>
      </c>
      <c r="B346" s="80"/>
      <c r="C346" s="111"/>
      <c r="D346" s="111"/>
      <c r="E346" s="111"/>
      <c r="F346" s="64"/>
      <c r="G346" s="64"/>
      <c r="H346" s="64"/>
      <c r="I346" s="64"/>
      <c r="J346" s="64"/>
      <c r="K346" s="3"/>
      <c r="L346" s="3"/>
      <c r="M346" s="87" t="s">
        <v>470</v>
      </c>
      <c r="N346" s="3">
        <f>P346+R346+T346+V346</f>
        <v>2619.6999999999998</v>
      </c>
      <c r="O346" s="3">
        <f t="shared" si="83"/>
        <v>2602.1999999999998</v>
      </c>
      <c r="P346" s="3"/>
      <c r="Q346" s="3"/>
      <c r="R346" s="3"/>
      <c r="S346" s="3"/>
      <c r="T346" s="3"/>
      <c r="U346" s="3"/>
      <c r="V346" s="3">
        <f>1910.5+38.9+127.4+155.7+387.2</f>
        <v>2619.6999999999998</v>
      </c>
      <c r="W346" s="3">
        <v>2602.1999999999998</v>
      </c>
      <c r="X346" s="3">
        <f>Y346+Z346+AA346+AB346</f>
        <v>2997.7</v>
      </c>
      <c r="Y346" s="3"/>
      <c r="Z346" s="3"/>
      <c r="AA346" s="3"/>
      <c r="AB346" s="3">
        <f>2810.6+3.7+24+8.3+151.1</f>
        <v>2997.7</v>
      </c>
      <c r="AC346" s="3">
        <f>AD346+AE346+AF346+AG346</f>
        <v>2810.6</v>
      </c>
      <c r="AD346" s="3"/>
      <c r="AE346" s="3"/>
      <c r="AF346" s="3"/>
      <c r="AG346" s="3">
        <v>2810.6</v>
      </c>
      <c r="AH346" s="3">
        <f>AI346+AJ346+AK346+AL346</f>
        <v>2810.6</v>
      </c>
      <c r="AI346" s="3"/>
      <c r="AJ346" s="3"/>
      <c r="AK346" s="3"/>
      <c r="AL346" s="3">
        <f>2810.6</f>
        <v>2810.6</v>
      </c>
      <c r="AM346" s="3">
        <f>AN346+AO346+AP346+AQ346</f>
        <v>2810.6</v>
      </c>
      <c r="AN346" s="3"/>
      <c r="AO346" s="3"/>
      <c r="AP346" s="3"/>
      <c r="AQ346" s="3">
        <f>2810.6</f>
        <v>2810.6</v>
      </c>
    </row>
    <row r="347" spans="1:43" ht="35.450000000000003" customHeight="1" thickBot="1">
      <c r="A347" s="72" t="s">
        <v>478</v>
      </c>
      <c r="B347" s="80"/>
      <c r="C347" s="111"/>
      <c r="D347" s="111"/>
      <c r="E347" s="111"/>
      <c r="F347" s="64"/>
      <c r="G347" s="64"/>
      <c r="H347" s="64"/>
      <c r="I347" s="64"/>
      <c r="J347" s="64"/>
      <c r="K347" s="3"/>
      <c r="L347" s="3"/>
      <c r="M347" s="87" t="s">
        <v>477</v>
      </c>
      <c r="N347" s="3">
        <f>P347+R347+T347+V347</f>
        <v>0</v>
      </c>
      <c r="O347" s="3">
        <f t="shared" si="83"/>
        <v>0</v>
      </c>
      <c r="P347" s="3"/>
      <c r="Q347" s="3"/>
      <c r="R347" s="3"/>
      <c r="S347" s="3"/>
      <c r="T347" s="3"/>
      <c r="U347" s="3"/>
      <c r="V347" s="3">
        <v>0</v>
      </c>
      <c r="W347" s="3"/>
      <c r="X347" s="3">
        <f>Y347+Z347+AA347+AB347</f>
        <v>0</v>
      </c>
      <c r="Y347" s="3"/>
      <c r="Z347" s="3"/>
      <c r="AA347" s="3"/>
      <c r="AB347" s="3">
        <v>0</v>
      </c>
      <c r="AC347" s="3">
        <f>AD347+AE347+AF347+AG347</f>
        <v>0</v>
      </c>
      <c r="AD347" s="3"/>
      <c r="AE347" s="3"/>
      <c r="AF347" s="3"/>
      <c r="AG347" s="3">
        <v>0</v>
      </c>
      <c r="AH347" s="3">
        <f>AI347+AJ347+AK347+AL347</f>
        <v>0</v>
      </c>
      <c r="AI347" s="3"/>
      <c r="AJ347" s="3"/>
      <c r="AK347" s="3"/>
      <c r="AL347" s="3">
        <v>0</v>
      </c>
      <c r="AM347" s="3">
        <f>AN347+AO347+AP347+AQ347</f>
        <v>0</v>
      </c>
      <c r="AN347" s="3"/>
      <c r="AO347" s="3"/>
      <c r="AP347" s="3"/>
      <c r="AQ347" s="3">
        <v>0</v>
      </c>
    </row>
    <row r="348" spans="1:43" ht="35.450000000000003" customHeight="1" thickBot="1">
      <c r="A348" s="76" t="s">
        <v>482</v>
      </c>
      <c r="B348" s="217">
        <v>2530</v>
      </c>
      <c r="C348" s="78"/>
      <c r="D348" s="5"/>
      <c r="E348" s="5"/>
      <c r="F348" s="5"/>
      <c r="G348" s="5"/>
      <c r="H348" s="5"/>
      <c r="I348" s="5"/>
      <c r="J348" s="5"/>
      <c r="K348" s="5"/>
      <c r="L348" s="5">
        <v>7</v>
      </c>
      <c r="M348" s="5"/>
      <c r="N348" s="126">
        <f>N349+N351+N352+N353+N354+N355+N356+N357+N359+N360</f>
        <v>43926.1</v>
      </c>
      <c r="O348" s="126">
        <f>O349+O351+O352+O353+O354+O355+O356+O357+O359+O360</f>
        <v>43926.1</v>
      </c>
      <c r="P348" s="126">
        <f t="shared" ref="P348:W348" si="85">P349+P351+P352+P353+P354+P355+P356+P357+P359+P360</f>
        <v>47.2</v>
      </c>
      <c r="Q348" s="126">
        <f t="shared" si="85"/>
        <v>47.2</v>
      </c>
      <c r="R348" s="126">
        <f t="shared" si="85"/>
        <v>7232</v>
      </c>
      <c r="S348" s="126">
        <f t="shared" si="85"/>
        <v>7232</v>
      </c>
      <c r="T348" s="126">
        <f t="shared" si="85"/>
        <v>0</v>
      </c>
      <c r="U348" s="126">
        <f t="shared" si="85"/>
        <v>0</v>
      </c>
      <c r="V348" s="126">
        <f t="shared" si="85"/>
        <v>36646.9</v>
      </c>
      <c r="W348" s="126">
        <f t="shared" si="85"/>
        <v>36646.9</v>
      </c>
      <c r="X348" s="126">
        <f>X349+X351+X352+X353+X354+X355+X356+X357+X359+X360+X358</f>
        <v>60437.2</v>
      </c>
      <c r="Y348" s="126">
        <f t="shared" ref="Y348:AQ348" si="86">Y349+Y351+Y352+Y353+Y354+Y355+Y356+Y357+Y359+Y360+Y358</f>
        <v>47.4</v>
      </c>
      <c r="Z348" s="126">
        <f t="shared" si="86"/>
        <v>2327.1</v>
      </c>
      <c r="AA348" s="126">
        <f t="shared" si="86"/>
        <v>0</v>
      </c>
      <c r="AB348" s="126">
        <f t="shared" si="86"/>
        <v>58062.7</v>
      </c>
      <c r="AC348" s="126">
        <f t="shared" si="86"/>
        <v>45016.799999999996</v>
      </c>
      <c r="AD348" s="126">
        <f t="shared" si="86"/>
        <v>46.1</v>
      </c>
      <c r="AE348" s="126">
        <f t="shared" si="86"/>
        <v>107.5</v>
      </c>
      <c r="AF348" s="126">
        <f t="shared" si="86"/>
        <v>0</v>
      </c>
      <c r="AG348" s="126">
        <f t="shared" si="86"/>
        <v>44863.200000000004</v>
      </c>
      <c r="AH348" s="126">
        <f t="shared" si="86"/>
        <v>45011.199999999997</v>
      </c>
      <c r="AI348" s="126">
        <f t="shared" si="86"/>
        <v>40.4</v>
      </c>
      <c r="AJ348" s="126">
        <f t="shared" si="86"/>
        <v>107.6</v>
      </c>
      <c r="AK348" s="126">
        <f t="shared" si="86"/>
        <v>0</v>
      </c>
      <c r="AL348" s="126">
        <f t="shared" si="86"/>
        <v>44863.200000000004</v>
      </c>
      <c r="AM348" s="126">
        <f t="shared" si="86"/>
        <v>45011.199999999997</v>
      </c>
      <c r="AN348" s="126">
        <f t="shared" si="86"/>
        <v>40.4</v>
      </c>
      <c r="AO348" s="126">
        <f t="shared" si="86"/>
        <v>107.6</v>
      </c>
      <c r="AP348" s="126">
        <f t="shared" si="86"/>
        <v>0</v>
      </c>
      <c r="AQ348" s="126">
        <f t="shared" si="86"/>
        <v>44863.200000000004</v>
      </c>
    </row>
    <row r="349" spans="1:43" ht="35.450000000000003" customHeight="1" thickBot="1">
      <c r="A349" s="72" t="s">
        <v>483</v>
      </c>
      <c r="B349" s="80"/>
      <c r="C349" s="4"/>
      <c r="D349" s="4"/>
      <c r="E349" s="4"/>
      <c r="F349" s="4"/>
      <c r="G349" s="4"/>
      <c r="H349" s="131"/>
      <c r="I349" s="85" t="s">
        <v>21</v>
      </c>
      <c r="J349" s="85" t="s">
        <v>485</v>
      </c>
      <c r="K349" s="86" t="s">
        <v>23</v>
      </c>
      <c r="L349" s="3"/>
      <c r="M349" s="87" t="s">
        <v>486</v>
      </c>
      <c r="N349" s="3">
        <f>P349+R349+T349+V349</f>
        <v>84.9</v>
      </c>
      <c r="O349" s="3">
        <f>Q349+S349+U349+W349</f>
        <v>84.9</v>
      </c>
      <c r="P349" s="3"/>
      <c r="Q349" s="3"/>
      <c r="R349" s="3">
        <v>84.9</v>
      </c>
      <c r="S349" s="3">
        <v>84.9</v>
      </c>
      <c r="T349" s="3"/>
      <c r="U349" s="3"/>
      <c r="V349" s="3"/>
      <c r="W349" s="3"/>
      <c r="X349" s="3">
        <f>Y349+Z349+AA349+AB349</f>
        <v>115.8</v>
      </c>
      <c r="Y349" s="3"/>
      <c r="Z349" s="3">
        <v>84.8</v>
      </c>
      <c r="AA349" s="3"/>
      <c r="AB349" s="3">
        <v>31</v>
      </c>
      <c r="AC349" s="3">
        <f>AD349+AE349+AF349+AG349</f>
        <v>115.8</v>
      </c>
      <c r="AD349" s="3"/>
      <c r="AE349" s="3">
        <v>84.8</v>
      </c>
      <c r="AF349" s="3"/>
      <c r="AG349" s="3">
        <v>31</v>
      </c>
      <c r="AH349" s="3">
        <f t="shared" ref="AH349:AH359" si="87">AI349+AJ349+AK349+AL349</f>
        <v>115.8</v>
      </c>
      <c r="AI349" s="3"/>
      <c r="AJ349" s="3">
        <v>84.8</v>
      </c>
      <c r="AK349" s="3"/>
      <c r="AL349" s="3">
        <v>31</v>
      </c>
      <c r="AM349" s="3">
        <f>AN349+AO349+AP349+AQ349</f>
        <v>115.8</v>
      </c>
      <c r="AN349" s="3"/>
      <c r="AO349" s="3">
        <v>84.8</v>
      </c>
      <c r="AP349" s="3"/>
      <c r="AQ349" s="3">
        <v>31</v>
      </c>
    </row>
    <row r="350" spans="1:43" ht="35.450000000000003" customHeight="1" thickBot="1">
      <c r="A350" s="72" t="s">
        <v>483</v>
      </c>
      <c r="B350" s="80"/>
      <c r="C350" s="84" t="s">
        <v>191</v>
      </c>
      <c r="D350" s="84" t="s">
        <v>487</v>
      </c>
      <c r="E350" s="84" t="s">
        <v>271</v>
      </c>
      <c r="F350" s="84" t="s">
        <v>488</v>
      </c>
      <c r="G350" s="84" t="s">
        <v>489</v>
      </c>
      <c r="H350" s="84" t="s">
        <v>490</v>
      </c>
      <c r="I350" s="239" t="s">
        <v>1270</v>
      </c>
      <c r="J350" s="4"/>
      <c r="K350" s="4"/>
      <c r="L350" s="3"/>
      <c r="M350" s="87" t="s">
        <v>491</v>
      </c>
      <c r="N350" s="3"/>
      <c r="O350" s="3">
        <f t="shared" ref="O350:O360" si="88">Q350+S350+U350+W350</f>
        <v>0</v>
      </c>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row>
    <row r="351" spans="1:43" ht="35.450000000000003" customHeight="1" thickBot="1">
      <c r="A351" s="72" t="s">
        <v>483</v>
      </c>
      <c r="B351" s="80"/>
      <c r="C351" s="84" t="s">
        <v>492</v>
      </c>
      <c r="D351" s="84" t="s">
        <v>19</v>
      </c>
      <c r="E351" s="84" t="s">
        <v>493</v>
      </c>
      <c r="F351" s="95" t="s">
        <v>568</v>
      </c>
      <c r="G351" s="139" t="s">
        <v>277</v>
      </c>
      <c r="H351" s="139" t="s">
        <v>390</v>
      </c>
      <c r="I351" s="239"/>
      <c r="J351" s="4"/>
      <c r="K351" s="4"/>
      <c r="L351" s="3"/>
      <c r="M351" s="87" t="s">
        <v>494</v>
      </c>
      <c r="N351" s="3"/>
      <c r="O351" s="3">
        <f t="shared" si="88"/>
        <v>0</v>
      </c>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row>
    <row r="352" spans="1:43" ht="35.450000000000003" customHeight="1" thickBot="1">
      <c r="A352" s="72" t="s">
        <v>483</v>
      </c>
      <c r="B352" s="80"/>
      <c r="C352" s="4"/>
      <c r="D352" s="4"/>
      <c r="E352" s="4"/>
      <c r="F352" s="4"/>
      <c r="G352" s="4"/>
      <c r="H352" s="4"/>
      <c r="I352" s="4"/>
      <c r="J352" s="4"/>
      <c r="K352" s="4"/>
      <c r="L352" s="3"/>
      <c r="M352" s="87" t="s">
        <v>495</v>
      </c>
      <c r="N352" s="3">
        <f>P352+R352+T352+V352</f>
        <v>1625.3</v>
      </c>
      <c r="O352" s="3">
        <f t="shared" si="88"/>
        <v>1625.3</v>
      </c>
      <c r="P352" s="3"/>
      <c r="Q352" s="3"/>
      <c r="R352" s="3"/>
      <c r="S352" s="3"/>
      <c r="T352" s="3"/>
      <c r="U352" s="3"/>
      <c r="V352" s="3">
        <f>1594.2+31.1</f>
        <v>1625.3</v>
      </c>
      <c r="W352" s="3">
        <v>1625.3</v>
      </c>
      <c r="X352" s="3">
        <f t="shared" ref="X352:X360" si="89">Y352+Z352+AA352+AB352</f>
        <v>2208.1</v>
      </c>
      <c r="Y352" s="3"/>
      <c r="Z352" s="3"/>
      <c r="AA352" s="3"/>
      <c r="AB352" s="3">
        <f>1918.7+17.8+50.8+220.8</f>
        <v>2208.1</v>
      </c>
      <c r="AC352" s="3">
        <f>AD352+AE352+AF352+AG352</f>
        <v>2688.7</v>
      </c>
      <c r="AD352" s="3"/>
      <c r="AE352" s="3"/>
      <c r="AF352" s="3"/>
      <c r="AG352" s="3">
        <v>2688.7</v>
      </c>
      <c r="AH352" s="3">
        <f t="shared" si="87"/>
        <v>2688.7</v>
      </c>
      <c r="AI352" s="3"/>
      <c r="AJ352" s="3"/>
      <c r="AK352" s="3"/>
      <c r="AL352" s="3">
        <v>2688.7</v>
      </c>
      <c r="AM352" s="3">
        <f>AN352+AO352+AP352+AQ352</f>
        <v>2688.7</v>
      </c>
      <c r="AN352" s="3"/>
      <c r="AO352" s="3"/>
      <c r="AP352" s="3"/>
      <c r="AQ352" s="3">
        <v>2688.7</v>
      </c>
    </row>
    <row r="353" spans="1:43" ht="35.450000000000003" customHeight="1" thickBot="1">
      <c r="A353" s="72" t="s">
        <v>483</v>
      </c>
      <c r="B353" s="80"/>
      <c r="C353" s="4"/>
      <c r="D353" s="4"/>
      <c r="E353" s="4"/>
      <c r="F353" s="4"/>
      <c r="G353" s="4"/>
      <c r="H353" s="4"/>
      <c r="I353" s="208" t="s">
        <v>1269</v>
      </c>
      <c r="J353" s="4" t="s">
        <v>277</v>
      </c>
      <c r="K353" s="4"/>
      <c r="L353" s="3"/>
      <c r="M353" s="87" t="s">
        <v>496</v>
      </c>
      <c r="N353" s="3">
        <f>P353+R353+T353+V353</f>
        <v>825.7</v>
      </c>
      <c r="O353" s="3">
        <f t="shared" si="88"/>
        <v>825.7</v>
      </c>
      <c r="P353" s="3"/>
      <c r="Q353" s="3"/>
      <c r="R353" s="3"/>
      <c r="S353" s="3"/>
      <c r="T353" s="3"/>
      <c r="U353" s="3"/>
      <c r="V353" s="3">
        <v>825.7</v>
      </c>
      <c r="W353" s="3">
        <v>825.7</v>
      </c>
      <c r="X353" s="3">
        <f t="shared" si="89"/>
        <v>2410</v>
      </c>
      <c r="Y353" s="3"/>
      <c r="Z353" s="3"/>
      <c r="AA353" s="3"/>
      <c r="AB353" s="3">
        <f>95.6+200+839.8+670+499.1-17.8+123.3</f>
        <v>2410</v>
      </c>
      <c r="AC353" s="3">
        <f>AD353+AE353+AF353+AG353</f>
        <v>0</v>
      </c>
      <c r="AD353" s="3"/>
      <c r="AE353" s="3"/>
      <c r="AF353" s="3"/>
      <c r="AG353" s="3"/>
      <c r="AH353" s="3">
        <f t="shared" si="87"/>
        <v>0</v>
      </c>
      <c r="AI353" s="3"/>
      <c r="AJ353" s="3"/>
      <c r="AK353" s="3"/>
      <c r="AL353" s="3"/>
      <c r="AM353" s="3">
        <f>AN353+AO353+AP353+AQ353</f>
        <v>0</v>
      </c>
      <c r="AN353" s="3"/>
      <c r="AO353" s="3"/>
      <c r="AP353" s="3"/>
      <c r="AQ353" s="3"/>
    </row>
    <row r="354" spans="1:43" ht="35.450000000000003" customHeight="1" thickBot="1">
      <c r="A354" s="72" t="s">
        <v>483</v>
      </c>
      <c r="B354" s="80"/>
      <c r="C354" s="4"/>
      <c r="D354" s="4"/>
      <c r="E354" s="4"/>
      <c r="F354" s="4"/>
      <c r="G354" s="4"/>
      <c r="H354" s="4"/>
      <c r="I354" s="4"/>
      <c r="J354" s="4"/>
      <c r="K354" s="4"/>
      <c r="L354" s="3"/>
      <c r="M354" s="87" t="s">
        <v>497</v>
      </c>
      <c r="N354" s="3">
        <f>P354+R354+T354+V354</f>
        <v>2579.6999999999998</v>
      </c>
      <c r="O354" s="3">
        <f t="shared" si="88"/>
        <v>2579.6999999999998</v>
      </c>
      <c r="P354" s="3"/>
      <c r="Q354" s="3"/>
      <c r="R354" s="3"/>
      <c r="S354" s="3"/>
      <c r="T354" s="3"/>
      <c r="U354" s="3"/>
      <c r="V354" s="3">
        <f>2467.5+112.2</f>
        <v>2579.6999999999998</v>
      </c>
      <c r="W354" s="3">
        <v>2579.6999999999998</v>
      </c>
      <c r="X354" s="3">
        <f t="shared" si="89"/>
        <v>2761.0999999999995</v>
      </c>
      <c r="Y354" s="3"/>
      <c r="Z354" s="3"/>
      <c r="AA354" s="3"/>
      <c r="AB354" s="3">
        <f>3032.7-50.8-220.8</f>
        <v>2761.0999999999995</v>
      </c>
      <c r="AC354" s="3">
        <f>AD354+AE354+AF354+AG354</f>
        <v>3032.7</v>
      </c>
      <c r="AD354" s="3"/>
      <c r="AE354" s="3"/>
      <c r="AF354" s="3"/>
      <c r="AG354" s="3">
        <v>3032.7</v>
      </c>
      <c r="AH354" s="3">
        <f t="shared" si="87"/>
        <v>3032.7</v>
      </c>
      <c r="AI354" s="3"/>
      <c r="AJ354" s="3"/>
      <c r="AK354" s="3"/>
      <c r="AL354" s="3">
        <v>3032.7</v>
      </c>
      <c r="AM354" s="3">
        <f>AN354+AO354+AP354+AQ354</f>
        <v>3032.7</v>
      </c>
      <c r="AN354" s="3"/>
      <c r="AO354" s="3"/>
      <c r="AP354" s="3"/>
      <c r="AQ354" s="3">
        <v>3032.7</v>
      </c>
    </row>
    <row r="355" spans="1:43" ht="35.450000000000003" customHeight="1" thickBot="1">
      <c r="A355" s="72" t="s">
        <v>483</v>
      </c>
      <c r="B355" s="80"/>
      <c r="C355" s="4"/>
      <c r="D355" s="4"/>
      <c r="E355" s="4"/>
      <c r="F355" s="4"/>
      <c r="G355" s="4"/>
      <c r="H355" s="4"/>
      <c r="I355" s="4" t="s">
        <v>1271</v>
      </c>
      <c r="J355" s="4" t="s">
        <v>277</v>
      </c>
      <c r="K355" s="4"/>
      <c r="L355" s="3"/>
      <c r="M355" s="87" t="s">
        <v>498</v>
      </c>
      <c r="N355" s="3">
        <f>P355+R355+T355+V355</f>
        <v>38711.199999999997</v>
      </c>
      <c r="O355" s="3">
        <f t="shared" si="88"/>
        <v>38711.199999999997</v>
      </c>
      <c r="P355" s="3"/>
      <c r="Q355" s="3"/>
      <c r="R355" s="3">
        <v>7127.8</v>
      </c>
      <c r="S355" s="3">
        <v>7127.8</v>
      </c>
      <c r="T355" s="3"/>
      <c r="U355" s="3"/>
      <c r="V355" s="3">
        <f>28977+4880.6+61.1+308.3+4484.2-7127.8</f>
        <v>31583.399999999998</v>
      </c>
      <c r="W355" s="3">
        <f>38711.2-7127.8</f>
        <v>31583.399999999998</v>
      </c>
      <c r="X355" s="3">
        <f t="shared" si="89"/>
        <v>50402.6</v>
      </c>
      <c r="Y355" s="3"/>
      <c r="Z355" s="3"/>
      <c r="AA355" s="3"/>
      <c r="AB355" s="3">
        <f>39109+7381.9+3042+869.7</f>
        <v>50402.6</v>
      </c>
      <c r="AC355" s="3">
        <f>AD355+AE355+AF355+AG355</f>
        <v>39109</v>
      </c>
      <c r="AD355" s="3"/>
      <c r="AE355" s="3"/>
      <c r="AF355" s="3"/>
      <c r="AG355" s="3">
        <v>39109</v>
      </c>
      <c r="AH355" s="3">
        <f t="shared" si="87"/>
        <v>39109</v>
      </c>
      <c r="AI355" s="3"/>
      <c r="AJ355" s="3"/>
      <c r="AK355" s="3"/>
      <c r="AL355" s="3">
        <v>39109</v>
      </c>
      <c r="AM355" s="3">
        <f>AN355+AO355+AP355+AQ355</f>
        <v>39109</v>
      </c>
      <c r="AN355" s="3"/>
      <c r="AO355" s="3"/>
      <c r="AP355" s="3"/>
      <c r="AQ355" s="3">
        <v>39109</v>
      </c>
    </row>
    <row r="356" spans="1:43" ht="35.450000000000003" customHeight="1" thickBot="1">
      <c r="A356" s="72" t="s">
        <v>483</v>
      </c>
      <c r="B356" s="80"/>
      <c r="C356" s="154"/>
      <c r="D356" s="4"/>
      <c r="E356" s="4"/>
      <c r="F356" s="154"/>
      <c r="G356" s="154"/>
      <c r="H356" s="154"/>
      <c r="I356" s="4" t="s">
        <v>1272</v>
      </c>
      <c r="J356" s="4" t="s">
        <v>277</v>
      </c>
      <c r="K356" s="4"/>
      <c r="L356" s="3"/>
      <c r="M356" s="87" t="s">
        <v>499</v>
      </c>
      <c r="N356" s="3">
        <f>P356+R356+T356+V356</f>
        <v>68.3</v>
      </c>
      <c r="O356" s="3">
        <f t="shared" si="88"/>
        <v>68.3</v>
      </c>
      <c r="P356" s="3">
        <v>47.2</v>
      </c>
      <c r="Q356" s="3">
        <v>47.2</v>
      </c>
      <c r="R356" s="3">
        <v>19.3</v>
      </c>
      <c r="S356" s="3">
        <v>19.3</v>
      </c>
      <c r="T356" s="3"/>
      <c r="U356" s="3"/>
      <c r="V356" s="3">
        <v>1.8</v>
      </c>
      <c r="W356" s="3">
        <v>1.8</v>
      </c>
      <c r="X356" s="3">
        <f t="shared" si="89"/>
        <v>69.5</v>
      </c>
      <c r="Y356" s="3">
        <v>47.4</v>
      </c>
      <c r="Z356" s="3">
        <v>20.3</v>
      </c>
      <c r="AA356" s="3"/>
      <c r="AB356" s="3">
        <v>1.8</v>
      </c>
      <c r="AC356" s="3">
        <f>AD356+AE356+AF356+AG356</f>
        <v>70.599999999999994</v>
      </c>
      <c r="AD356" s="3">
        <v>46.1</v>
      </c>
      <c r="AE356" s="3">
        <v>22.7</v>
      </c>
      <c r="AF356" s="3"/>
      <c r="AG356" s="3">
        <v>1.8</v>
      </c>
      <c r="AH356" s="3">
        <f t="shared" si="87"/>
        <v>65</v>
      </c>
      <c r="AI356" s="3">
        <v>40.4</v>
      </c>
      <c r="AJ356" s="3">
        <v>22.8</v>
      </c>
      <c r="AK356" s="3"/>
      <c r="AL356" s="3">
        <v>1.8</v>
      </c>
      <c r="AM356" s="3">
        <f>AN356+AO356+AP356+AQ356</f>
        <v>65</v>
      </c>
      <c r="AN356" s="3">
        <v>40.4</v>
      </c>
      <c r="AO356" s="3">
        <v>22.8</v>
      </c>
      <c r="AP356" s="3"/>
      <c r="AQ356" s="3">
        <v>1.8</v>
      </c>
    </row>
    <row r="357" spans="1:43" ht="35.450000000000003" customHeight="1" thickBot="1">
      <c r="A357" s="72" t="s">
        <v>483</v>
      </c>
      <c r="B357" s="80"/>
      <c r="C357" s="84" t="s">
        <v>500</v>
      </c>
      <c r="D357" s="84" t="s">
        <v>501</v>
      </c>
      <c r="E357" s="84" t="s">
        <v>502</v>
      </c>
      <c r="F357" s="154"/>
      <c r="G357" s="154"/>
      <c r="H357" s="154"/>
      <c r="I357" s="95"/>
      <c r="J357" s="4"/>
      <c r="K357" s="4"/>
      <c r="L357" s="3"/>
      <c r="M357" s="87" t="s">
        <v>503</v>
      </c>
      <c r="N357" s="3"/>
      <c r="O357" s="3">
        <f t="shared" si="88"/>
        <v>0</v>
      </c>
      <c r="P357" s="3"/>
      <c r="Q357" s="3"/>
      <c r="R357" s="3"/>
      <c r="S357" s="3"/>
      <c r="T357" s="3"/>
      <c r="U357" s="3"/>
      <c r="V357" s="3"/>
      <c r="W357" s="3"/>
      <c r="X357" s="3">
        <f t="shared" si="89"/>
        <v>0</v>
      </c>
      <c r="Y357" s="3"/>
      <c r="Z357" s="3"/>
      <c r="AA357" s="3"/>
      <c r="AB357" s="3"/>
      <c r="AC357" s="3"/>
      <c r="AD357" s="3"/>
      <c r="AE357" s="3"/>
      <c r="AF357" s="3"/>
      <c r="AG357" s="3"/>
      <c r="AH357" s="3"/>
      <c r="AI357" s="3"/>
      <c r="AJ357" s="3"/>
      <c r="AK357" s="3"/>
      <c r="AL357" s="3"/>
      <c r="AM357" s="3"/>
      <c r="AN357" s="3"/>
      <c r="AO357" s="3"/>
      <c r="AP357" s="3"/>
      <c r="AQ357" s="3"/>
    </row>
    <row r="358" spans="1:43" ht="35.450000000000003" customHeight="1" thickBot="1">
      <c r="A358" s="72" t="s">
        <v>483</v>
      </c>
      <c r="B358" s="80"/>
      <c r="C358" s="154"/>
      <c r="D358" s="4"/>
      <c r="E358" s="240"/>
      <c r="F358" s="154"/>
      <c r="G358" s="154"/>
      <c r="H358" s="154"/>
      <c r="I358" s="4" t="s">
        <v>1273</v>
      </c>
      <c r="J358" s="4"/>
      <c r="K358" s="4"/>
      <c r="L358" s="3"/>
      <c r="M358" s="87" t="s">
        <v>504</v>
      </c>
      <c r="N358" s="3"/>
      <c r="O358" s="3"/>
      <c r="P358" s="3"/>
      <c r="Q358" s="3"/>
      <c r="R358" s="3"/>
      <c r="S358" s="3"/>
      <c r="T358" s="3"/>
      <c r="U358" s="3"/>
      <c r="V358" s="3"/>
      <c r="W358" s="3"/>
      <c r="X358" s="3">
        <f t="shared" si="89"/>
        <v>2470.1</v>
      </c>
      <c r="Y358" s="3"/>
      <c r="Z358" s="3">
        <v>2222</v>
      </c>
      <c r="AA358" s="3"/>
      <c r="AB358" s="3">
        <v>248.1</v>
      </c>
      <c r="AC358" s="3"/>
      <c r="AD358" s="3"/>
      <c r="AE358" s="3"/>
      <c r="AF358" s="3"/>
      <c r="AG358" s="3"/>
      <c r="AH358" s="3"/>
      <c r="AI358" s="3"/>
      <c r="AJ358" s="3"/>
      <c r="AK358" s="3"/>
      <c r="AL358" s="3"/>
      <c r="AM358" s="3"/>
      <c r="AN358" s="3"/>
      <c r="AO358" s="3"/>
      <c r="AP358" s="3"/>
      <c r="AQ358" s="3"/>
    </row>
    <row r="359" spans="1:43" ht="35.450000000000003" customHeight="1" thickBot="1">
      <c r="A359" s="72" t="s">
        <v>483</v>
      </c>
      <c r="B359" s="80"/>
      <c r="C359" s="4"/>
      <c r="D359" s="4"/>
      <c r="E359" s="240"/>
      <c r="F359" s="4"/>
      <c r="G359" s="4"/>
      <c r="H359" s="131"/>
      <c r="I359" s="95"/>
      <c r="J359" s="4"/>
      <c r="K359" s="4"/>
      <c r="L359" s="3"/>
      <c r="M359" s="87" t="s">
        <v>505</v>
      </c>
      <c r="N359" s="3">
        <f>P359+R359+T359+V359</f>
        <v>31</v>
      </c>
      <c r="O359" s="3">
        <f t="shared" si="88"/>
        <v>31</v>
      </c>
      <c r="P359" s="3"/>
      <c r="Q359" s="3"/>
      <c r="R359" s="3"/>
      <c r="S359" s="3"/>
      <c r="T359" s="3"/>
      <c r="U359" s="3"/>
      <c r="V359" s="3">
        <v>31</v>
      </c>
      <c r="W359" s="3">
        <v>31</v>
      </c>
      <c r="X359" s="3">
        <f t="shared" si="89"/>
        <v>0</v>
      </c>
      <c r="Y359" s="3"/>
      <c r="Z359" s="3"/>
      <c r="AA359" s="3"/>
      <c r="AB359" s="3">
        <v>0</v>
      </c>
      <c r="AC359" s="3">
        <f>AD359+AE359+AF359+AG359</f>
        <v>0</v>
      </c>
      <c r="AD359" s="3"/>
      <c r="AE359" s="3"/>
      <c r="AF359" s="3"/>
      <c r="AG359" s="3">
        <v>0</v>
      </c>
      <c r="AH359" s="3">
        <f t="shared" si="87"/>
        <v>0</v>
      </c>
      <c r="AI359" s="3"/>
      <c r="AJ359" s="3"/>
      <c r="AK359" s="3"/>
      <c r="AL359" s="3">
        <v>0</v>
      </c>
      <c r="AM359" s="3">
        <f>AN359+AO359+AP359+AQ359</f>
        <v>0</v>
      </c>
      <c r="AN359" s="3"/>
      <c r="AO359" s="3"/>
      <c r="AP359" s="3"/>
      <c r="AQ359" s="3">
        <v>0</v>
      </c>
    </row>
    <row r="360" spans="1:43" ht="35.450000000000003" customHeight="1" thickBot="1">
      <c r="A360" s="72" t="s">
        <v>483</v>
      </c>
      <c r="B360" s="80"/>
      <c r="C360" s="4"/>
      <c r="D360" s="4"/>
      <c r="E360" s="240"/>
      <c r="F360" s="154"/>
      <c r="G360" s="154"/>
      <c r="H360" s="154"/>
      <c r="I360" s="4"/>
      <c r="J360" s="4"/>
      <c r="K360" s="4"/>
      <c r="L360" s="3"/>
      <c r="M360" s="87" t="s">
        <v>506</v>
      </c>
      <c r="N360" s="3">
        <f>P360+R360+T360+V360</f>
        <v>0</v>
      </c>
      <c r="O360" s="3">
        <f t="shared" si="88"/>
        <v>0</v>
      </c>
      <c r="P360" s="3">
        <v>0</v>
      </c>
      <c r="Q360" s="3"/>
      <c r="R360" s="3"/>
      <c r="S360" s="3"/>
      <c r="T360" s="3"/>
      <c r="U360" s="3"/>
      <c r="V360" s="3"/>
      <c r="W360" s="3"/>
      <c r="X360" s="3">
        <f t="shared" si="89"/>
        <v>0</v>
      </c>
      <c r="Y360" s="3">
        <v>0</v>
      </c>
      <c r="Z360" s="3"/>
      <c r="AA360" s="3"/>
      <c r="AB360" s="3"/>
      <c r="AC360" s="3">
        <f>AD360+AE360+AF360+AG360</f>
        <v>0</v>
      </c>
      <c r="AD360" s="3">
        <v>0</v>
      </c>
      <c r="AE360" s="3"/>
      <c r="AF360" s="3"/>
      <c r="AG360" s="3"/>
      <c r="AH360" s="3"/>
      <c r="AI360" s="3"/>
      <c r="AJ360" s="3"/>
      <c r="AK360" s="3"/>
      <c r="AL360" s="3"/>
      <c r="AM360" s="3"/>
      <c r="AN360" s="3"/>
      <c r="AO360" s="3"/>
      <c r="AP360" s="3"/>
      <c r="AQ360" s="3"/>
    </row>
    <row r="361" spans="1:43" ht="35.450000000000003" customHeight="1" thickBot="1">
      <c r="A361" s="76" t="s">
        <v>507</v>
      </c>
      <c r="B361" s="217">
        <v>2531</v>
      </c>
      <c r="C361" s="78"/>
      <c r="D361" s="5"/>
      <c r="E361" s="5"/>
      <c r="F361" s="5"/>
      <c r="G361" s="5"/>
      <c r="H361" s="5"/>
      <c r="I361" s="5"/>
      <c r="J361" s="5"/>
      <c r="K361" s="5"/>
      <c r="L361" s="5">
        <v>7</v>
      </c>
      <c r="M361" s="5"/>
      <c r="N361" s="126">
        <f>N362+N364+N365+N366+N367+N374+N375+N376+N379+N386+N387+N388+N389+N390+N391+N392+N393+N394+N395+N396+N397+N399+N401+N402+N403+N404+N405+N406+N368+N370+N372+N380+N382+N377+N381+N371+N398</f>
        <v>148941.69999999998</v>
      </c>
      <c r="O361" s="126">
        <f t="shared" ref="O361:W361" si="90">O362+O364+O365+O366+O367+O374+O375+O376+O379+O386+O387+O388+O389+O390+O391+O392+O393+O394+O395+O396+O397+O399+O401+O402+O403+O404+O405+O406+O368+O370+O372+O380+O382+O377+O381+O371+O398</f>
        <v>147047.4</v>
      </c>
      <c r="P361" s="126">
        <f t="shared" si="90"/>
        <v>0</v>
      </c>
      <c r="Q361" s="126">
        <f t="shared" si="90"/>
        <v>0</v>
      </c>
      <c r="R361" s="126">
        <f t="shared" si="90"/>
        <v>24148.5</v>
      </c>
      <c r="S361" s="126">
        <f t="shared" si="90"/>
        <v>23699.7</v>
      </c>
      <c r="T361" s="126">
        <f t="shared" si="90"/>
        <v>0</v>
      </c>
      <c r="U361" s="126">
        <f t="shared" si="90"/>
        <v>0</v>
      </c>
      <c r="V361" s="126">
        <f t="shared" si="90"/>
        <v>124793.20000000001</v>
      </c>
      <c r="W361" s="126">
        <f t="shared" si="90"/>
        <v>123347.69999999998</v>
      </c>
      <c r="X361" s="126">
        <f>X362+X364+X365+X366+X367+X374+X375+X376+X379+X386+X387+X388+X389+X390+X391+X392+X393+X394+X395+X396+X397+X399+X401+X402+X403+X404+X405+X406+X368+X384+X372+X383+X378+X377+X371</f>
        <v>190784.4</v>
      </c>
      <c r="Y361" s="126">
        <f>Y362+Y364+Y365+Y366+Y367+Y374+Y375+Y376+Y379+Y386+Y387+Y388+Y389+Y390+Y391+Y392+Y393+Y394+Y395+Y396+Y397+Y399+Y401+Y402+Y403+Y404+Y405+Y406+Y368+Y384+Y372+Y383+Y378+Y377+Y371</f>
        <v>0</v>
      </c>
      <c r="Z361" s="126">
        <f>Z362+Z364+Z365+Z366+Z367+Z374+Z375+Z376+Z379+Z386+Z387+Z388+Z389+Z390+Z391+Z392+Z393+Z394+Z395+Z396+Z397+Z399+Z401+Z402+Z403+Z404+Z405+Z406+Z368+Z384+Z372+Z383+Z378+Z377+Z371</f>
        <v>7876</v>
      </c>
      <c r="AA361" s="126">
        <f>AA362+AA364+AA365+AA366+AA367+AA374+AA375+AA376+AA379+AA386+AA387+AA388+AA389+AA390+AA391+AA392+AA393+AA394+AA395+AA396+AA397+AA399+AA401+AA402+AA403+AA404+AA405+AA406+AA368+AA384+AA372+AA383+AA378+AA377+AA371</f>
        <v>0</v>
      </c>
      <c r="AB361" s="126">
        <f>AB362+AB364+AB365+AB366+AB367+AB374+AB375+AB376+AB379+AB386+AB387+AB388+AB389+AB390+AB391+AB392+AB393+AB394+AB395+AB396+AB397+AB399+AB401+AB402+AB403+AB404+AB405+AB406+AB368+AB384+AB372+AB383+AB378+AB377+AB371</f>
        <v>182908.4</v>
      </c>
      <c r="AC361" s="126">
        <f t="shared" ref="AC361:AQ361" si="91">AC362+AC364+AC365+AC366+AC367+AC374+AC375+AC376+AC379+AC386+AC387+AC388+AC389+AC390+AC391+AC392+AC393+AC394+AC395+AC396+AC397+AC399+AC401+AC402+AC403+AC404+AC405+AC406+AC368</f>
        <v>147529.19999999998</v>
      </c>
      <c r="AD361" s="126">
        <f t="shared" si="91"/>
        <v>0</v>
      </c>
      <c r="AE361" s="126">
        <f t="shared" si="91"/>
        <v>0</v>
      </c>
      <c r="AF361" s="126">
        <f t="shared" si="91"/>
        <v>0</v>
      </c>
      <c r="AG361" s="126">
        <f t="shared" si="91"/>
        <v>147529.19999999998</v>
      </c>
      <c r="AH361" s="126">
        <f t="shared" si="91"/>
        <v>147529.19999999998</v>
      </c>
      <c r="AI361" s="126">
        <f t="shared" si="91"/>
        <v>0</v>
      </c>
      <c r="AJ361" s="126">
        <f t="shared" si="91"/>
        <v>0</v>
      </c>
      <c r="AK361" s="126">
        <f t="shared" si="91"/>
        <v>0</v>
      </c>
      <c r="AL361" s="126">
        <f t="shared" si="91"/>
        <v>147529.19999999998</v>
      </c>
      <c r="AM361" s="126">
        <f t="shared" si="91"/>
        <v>147529.19999999998</v>
      </c>
      <c r="AN361" s="126">
        <f t="shared" si="91"/>
        <v>0</v>
      </c>
      <c r="AO361" s="126">
        <f t="shared" si="91"/>
        <v>0</v>
      </c>
      <c r="AP361" s="126">
        <f t="shared" si="91"/>
        <v>0</v>
      </c>
      <c r="AQ361" s="126">
        <f t="shared" si="91"/>
        <v>147529.19999999998</v>
      </c>
    </row>
    <row r="362" spans="1:43" ht="35.450000000000003" customHeight="1" thickBot="1">
      <c r="A362" s="72" t="s">
        <v>438</v>
      </c>
      <c r="B362" s="80"/>
      <c r="C362" s="84" t="s">
        <v>191</v>
      </c>
      <c r="D362" s="84" t="s">
        <v>508</v>
      </c>
      <c r="E362" s="84" t="s">
        <v>271</v>
      </c>
      <c r="F362" s="84" t="s">
        <v>509</v>
      </c>
      <c r="G362" s="84" t="s">
        <v>510</v>
      </c>
      <c r="H362" s="84" t="s">
        <v>511</v>
      </c>
      <c r="I362" s="107" t="s">
        <v>21</v>
      </c>
      <c r="J362" s="107" t="s">
        <v>512</v>
      </c>
      <c r="K362" s="109" t="s">
        <v>23</v>
      </c>
      <c r="L362" s="3"/>
      <c r="M362" s="87" t="s">
        <v>513</v>
      </c>
      <c r="N362" s="3">
        <f>P362+R362+T362+V362</f>
        <v>0</v>
      </c>
      <c r="O362" s="3"/>
      <c r="P362" s="3">
        <f>R362+T362+V362+SE1189</f>
        <v>0</v>
      </c>
      <c r="Q362" s="3"/>
      <c r="R362" s="3">
        <f>T362+V362+SE1189+SF1189</f>
        <v>0</v>
      </c>
      <c r="S362" s="3"/>
      <c r="T362" s="3">
        <f>V362+SE1189+SF1189+SG1189</f>
        <v>0</v>
      </c>
      <c r="U362" s="3"/>
      <c r="V362" s="3">
        <f>SE1189+SF1189+SG1189+SH1189</f>
        <v>0</v>
      </c>
      <c r="W362" s="3"/>
      <c r="X362" s="3">
        <f>Y362+Z362+AA362+AB362</f>
        <v>0</v>
      </c>
      <c r="Y362" s="3">
        <f>Z362+AA362+AB362+LL1189</f>
        <v>0</v>
      </c>
      <c r="Z362" s="3">
        <f>AA362+AB362+LL1189+LM1189</f>
        <v>0</v>
      </c>
      <c r="AA362" s="3">
        <f>AB362+LL1189+LM1189+LN1189</f>
        <v>0</v>
      </c>
      <c r="AB362" s="3">
        <f>LL1189+LM1189+LN1189+LO1189</f>
        <v>0</v>
      </c>
      <c r="AC362" s="3">
        <f>AD362+AE362+AF362+AG362</f>
        <v>0</v>
      </c>
      <c r="AD362" s="3">
        <f>AE362+AF362+AG362+IE1189</f>
        <v>0</v>
      </c>
      <c r="AE362" s="3">
        <f>AF362+AG362+IE1189+IF1189</f>
        <v>0</v>
      </c>
      <c r="AF362" s="3">
        <f>AG362+IE1189+IF1189+IG1189</f>
        <v>0</v>
      </c>
      <c r="AG362" s="3">
        <f>IE1189+IF1189+IG1189+IH1189</f>
        <v>0</v>
      </c>
      <c r="AH362" s="3">
        <f>AI362+AJ362+AK362+AL362</f>
        <v>0</v>
      </c>
      <c r="AI362" s="3">
        <f>AJ362+AK362+AL362+EN362</f>
        <v>0</v>
      </c>
      <c r="AJ362" s="3">
        <f>AK362+AL362+EN362+EO362</f>
        <v>0</v>
      </c>
      <c r="AK362" s="3">
        <f>AL362+EN362+EO362+EP362</f>
        <v>0</v>
      </c>
      <c r="AL362" s="3">
        <f>EN362+EO362+EP362+EQ362</f>
        <v>0</v>
      </c>
      <c r="AM362" s="3">
        <f>AN362+AO362+AP362+AQ362</f>
        <v>0</v>
      </c>
      <c r="AN362" s="3">
        <f>AO362+AP362+AQ362+ES362</f>
        <v>0</v>
      </c>
      <c r="AO362" s="3">
        <f>AP362+AQ362+ES362+ET362</f>
        <v>0</v>
      </c>
      <c r="AP362" s="3">
        <f>AQ362+ES362+ET362+EU362</f>
        <v>0</v>
      </c>
      <c r="AQ362" s="3">
        <f>ES362+ET362+EU362+EV362</f>
        <v>0</v>
      </c>
    </row>
    <row r="363" spans="1:43" ht="35.450000000000003" customHeight="1" thickBot="1">
      <c r="A363" s="72" t="s">
        <v>438</v>
      </c>
      <c r="B363" s="80"/>
      <c r="C363" s="84" t="s">
        <v>514</v>
      </c>
      <c r="D363" s="84" t="s">
        <v>515</v>
      </c>
      <c r="E363" s="84" t="s">
        <v>516</v>
      </c>
      <c r="F363" s="4"/>
      <c r="G363" s="4"/>
      <c r="H363" s="4"/>
      <c r="I363" s="4"/>
      <c r="J363" s="4"/>
      <c r="K363" s="4"/>
      <c r="L363" s="3"/>
      <c r="M363" s="87" t="s">
        <v>491</v>
      </c>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row>
    <row r="364" spans="1:43" ht="35.450000000000003" customHeight="1" thickBot="1">
      <c r="A364" s="72" t="s">
        <v>483</v>
      </c>
      <c r="B364" s="80"/>
      <c r="C364" s="131" t="s">
        <v>517</v>
      </c>
      <c r="D364" s="4" t="s">
        <v>277</v>
      </c>
      <c r="E364" s="4"/>
      <c r="F364" s="131" t="s">
        <v>518</v>
      </c>
      <c r="G364" s="4" t="s">
        <v>277</v>
      </c>
      <c r="H364" s="4"/>
      <c r="I364" s="208" t="s">
        <v>433</v>
      </c>
      <c r="J364" s="4" t="s">
        <v>277</v>
      </c>
      <c r="K364" s="4"/>
      <c r="L364" s="3"/>
      <c r="M364" s="87" t="s">
        <v>519</v>
      </c>
      <c r="N364" s="3">
        <f t="shared" ref="N364:O382" si="92">P364+R364+T364+V364</f>
        <v>1185.7999999999997</v>
      </c>
      <c r="O364" s="3">
        <f>Q364+S364+U364+W364</f>
        <v>1185.8</v>
      </c>
      <c r="P364" s="3"/>
      <c r="Q364" s="3"/>
      <c r="R364" s="3"/>
      <c r="S364" s="3"/>
      <c r="T364" s="3"/>
      <c r="U364" s="3"/>
      <c r="V364" s="3">
        <f>831.8+300+372.4-372.4+54</f>
        <v>1185.7999999999997</v>
      </c>
      <c r="W364" s="3">
        <v>1185.8</v>
      </c>
      <c r="X364" s="3">
        <f t="shared" ref="X364:X372" si="93">Y364+Z364+AA364+AB364</f>
        <v>950.8</v>
      </c>
      <c r="Y364" s="3"/>
      <c r="Z364" s="3"/>
      <c r="AA364" s="3"/>
      <c r="AB364" s="3">
        <f>886+13.9+50.9</f>
        <v>950.8</v>
      </c>
      <c r="AC364" s="3">
        <f>AD364+AE364+AF364+AG364</f>
        <v>1366</v>
      </c>
      <c r="AD364" s="3"/>
      <c r="AE364" s="3"/>
      <c r="AF364" s="3"/>
      <c r="AG364" s="3">
        <v>1366</v>
      </c>
      <c r="AH364" s="3">
        <f>AI364+AJ364+AL364</f>
        <v>1366</v>
      </c>
      <c r="AI364" s="3"/>
      <c r="AJ364" s="3"/>
      <c r="AK364" s="3"/>
      <c r="AL364" s="3">
        <v>1366</v>
      </c>
      <c r="AM364" s="3">
        <f>AN364+AO364+AQ364</f>
        <v>1366</v>
      </c>
      <c r="AN364" s="3"/>
      <c r="AO364" s="3"/>
      <c r="AP364" s="3"/>
      <c r="AQ364" s="3">
        <v>1366</v>
      </c>
    </row>
    <row r="365" spans="1:43" ht="35.450000000000003" customHeight="1" thickBot="1">
      <c r="A365" s="72" t="s">
        <v>483</v>
      </c>
      <c r="B365" s="80"/>
      <c r="C365" s="154"/>
      <c r="D365" s="4"/>
      <c r="E365" s="4"/>
      <c r="F365" s="154" t="s">
        <v>389</v>
      </c>
      <c r="G365" s="4"/>
      <c r="H365" s="4"/>
      <c r="I365" s="208" t="s">
        <v>1269</v>
      </c>
      <c r="J365" s="4" t="s">
        <v>277</v>
      </c>
      <c r="K365" s="4"/>
      <c r="L365" s="3"/>
      <c r="M365" s="87" t="s">
        <v>520</v>
      </c>
      <c r="N365" s="3">
        <f t="shared" si="92"/>
        <v>411.4</v>
      </c>
      <c r="O365" s="3">
        <f t="shared" si="92"/>
        <v>411.4</v>
      </c>
      <c r="P365" s="3"/>
      <c r="Q365" s="3"/>
      <c r="R365" s="3"/>
      <c r="S365" s="3"/>
      <c r="T365" s="3"/>
      <c r="U365" s="3"/>
      <c r="V365" s="3">
        <f>372.4+39</f>
        <v>411.4</v>
      </c>
      <c r="W365" s="3">
        <v>411.4</v>
      </c>
      <c r="X365" s="3">
        <f t="shared" si="93"/>
        <v>480.6</v>
      </c>
      <c r="Y365" s="3"/>
      <c r="Z365" s="3"/>
      <c r="AA365" s="3"/>
      <c r="AB365" s="3">
        <f>437.6+43</f>
        <v>480.6</v>
      </c>
      <c r="AC365" s="3">
        <f>AD365+AE365+AF365+AG365</f>
        <v>0</v>
      </c>
      <c r="AD365" s="3"/>
      <c r="AE365" s="3"/>
      <c r="AF365" s="3"/>
      <c r="AG365" s="3"/>
      <c r="AH365" s="3">
        <f>AI365+AJ365+AL365</f>
        <v>0</v>
      </c>
      <c r="AI365" s="3"/>
      <c r="AJ365" s="3"/>
      <c r="AK365" s="3"/>
      <c r="AL365" s="3"/>
      <c r="AM365" s="3">
        <f>AN365+AO365+AQ365</f>
        <v>0</v>
      </c>
      <c r="AN365" s="3"/>
      <c r="AO365" s="3"/>
      <c r="AP365" s="3"/>
      <c r="AQ365" s="3"/>
    </row>
    <row r="366" spans="1:43" ht="35.450000000000003" customHeight="1" thickBot="1">
      <c r="A366" s="72" t="s">
        <v>483</v>
      </c>
      <c r="B366" s="80"/>
      <c r="C366" s="4"/>
      <c r="D366" s="4"/>
      <c r="E366" s="4"/>
      <c r="F366" s="131"/>
      <c r="G366" s="4"/>
      <c r="H366" s="4"/>
      <c r="I366" s="208"/>
      <c r="J366" s="4"/>
      <c r="K366" s="4"/>
      <c r="L366" s="3"/>
      <c r="M366" s="87" t="s">
        <v>521</v>
      </c>
      <c r="N366" s="3">
        <f t="shared" si="92"/>
        <v>610.20000000000005</v>
      </c>
      <c r="O366" s="3">
        <f t="shared" si="92"/>
        <v>610.20000000000005</v>
      </c>
      <c r="P366" s="3"/>
      <c r="Q366" s="3"/>
      <c r="R366" s="3"/>
      <c r="S366" s="3"/>
      <c r="T366" s="3"/>
      <c r="U366" s="3"/>
      <c r="V366" s="3">
        <f>568.5+41.7</f>
        <v>610.20000000000005</v>
      </c>
      <c r="W366" s="3">
        <v>610.20000000000005</v>
      </c>
      <c r="X366" s="3">
        <f t="shared" si="93"/>
        <v>774.4</v>
      </c>
      <c r="Y366" s="3"/>
      <c r="Z366" s="3"/>
      <c r="AA366" s="3"/>
      <c r="AB366" s="3">
        <v>774.4</v>
      </c>
      <c r="AC366" s="3">
        <f>AD366+AE366+AF366+AG366</f>
        <v>774.4</v>
      </c>
      <c r="AD366" s="3"/>
      <c r="AE366" s="3"/>
      <c r="AF366" s="3"/>
      <c r="AG366" s="3">
        <v>774.4</v>
      </c>
      <c r="AH366" s="3">
        <f>AI366+AJ366+AL366</f>
        <v>774.4</v>
      </c>
      <c r="AI366" s="3"/>
      <c r="AJ366" s="3"/>
      <c r="AK366" s="3"/>
      <c r="AL366" s="3">
        <v>774.4</v>
      </c>
      <c r="AM366" s="3">
        <f>AN366+AO366+AQ366</f>
        <v>774.4</v>
      </c>
      <c r="AN366" s="3"/>
      <c r="AO366" s="3"/>
      <c r="AP366" s="3"/>
      <c r="AQ366" s="3">
        <v>774.4</v>
      </c>
    </row>
    <row r="367" spans="1:43" ht="35.450000000000003" customHeight="1" thickBot="1">
      <c r="A367" s="72" t="s">
        <v>483</v>
      </c>
      <c r="B367" s="80"/>
      <c r="C367" s="4"/>
      <c r="D367" s="4"/>
      <c r="E367" s="4"/>
      <c r="F367" s="131"/>
      <c r="G367" s="4"/>
      <c r="H367" s="4"/>
      <c r="I367" s="208"/>
      <c r="J367" s="4"/>
      <c r="K367" s="4"/>
      <c r="L367" s="3"/>
      <c r="M367" s="87" t="s">
        <v>522</v>
      </c>
      <c r="N367" s="3">
        <f t="shared" si="92"/>
        <v>19614</v>
      </c>
      <c r="O367" s="3">
        <f t="shared" si="92"/>
        <v>19592.599999999999</v>
      </c>
      <c r="P367" s="3"/>
      <c r="Q367" s="3"/>
      <c r="R367" s="3">
        <v>3521.9</v>
      </c>
      <c r="S367" s="3">
        <v>3521.9</v>
      </c>
      <c r="T367" s="3"/>
      <c r="U367" s="3"/>
      <c r="V367" s="3">
        <f>14814+2468.9+130.9+0.1+2200.1-3521.9</f>
        <v>16092.1</v>
      </c>
      <c r="W367" s="3">
        <f>19592.6-3521.9</f>
        <v>16070.699999999999</v>
      </c>
      <c r="X367" s="3">
        <f t="shared" si="93"/>
        <v>25722.5</v>
      </c>
      <c r="Y367" s="3"/>
      <c r="Z367" s="3"/>
      <c r="AA367" s="3"/>
      <c r="AB367" s="3">
        <f>19975.3+3772.2+1505+470</f>
        <v>25722.5</v>
      </c>
      <c r="AC367" s="3">
        <f>AD367+AE367+AF367+AG367</f>
        <v>19975.3</v>
      </c>
      <c r="AD367" s="3"/>
      <c r="AE367" s="3"/>
      <c r="AF367" s="3"/>
      <c r="AG367" s="3">
        <v>19975.3</v>
      </c>
      <c r="AH367" s="3">
        <f>AI367+AJ367+AL367</f>
        <v>19975.3</v>
      </c>
      <c r="AI367" s="3"/>
      <c r="AJ367" s="3"/>
      <c r="AK367" s="3"/>
      <c r="AL367" s="3">
        <v>19975.3</v>
      </c>
      <c r="AM367" s="3">
        <f>AN367+AO367+AQ367</f>
        <v>19975.3</v>
      </c>
      <c r="AN367" s="3"/>
      <c r="AO367" s="3"/>
      <c r="AP367" s="3"/>
      <c r="AQ367" s="3">
        <v>19975.3</v>
      </c>
    </row>
    <row r="368" spans="1:43" ht="35.450000000000003" customHeight="1" thickBot="1">
      <c r="A368" s="72" t="s">
        <v>483</v>
      </c>
      <c r="B368" s="80"/>
      <c r="F368" s="154"/>
      <c r="G368" s="154"/>
      <c r="H368" s="241"/>
      <c r="I368" s="208"/>
      <c r="J368" s="4"/>
      <c r="K368" s="4"/>
      <c r="L368" s="3"/>
      <c r="M368" s="87" t="s">
        <v>523</v>
      </c>
      <c r="N368" s="3">
        <f t="shared" si="92"/>
        <v>0</v>
      </c>
      <c r="O368" s="3">
        <f t="shared" si="92"/>
        <v>0</v>
      </c>
      <c r="P368" s="3"/>
      <c r="Q368" s="3"/>
      <c r="R368" s="3"/>
      <c r="S368" s="3"/>
      <c r="T368" s="3"/>
      <c r="U368" s="3"/>
      <c r="V368" s="3"/>
      <c r="W368" s="3"/>
      <c r="X368" s="3">
        <f t="shared" si="93"/>
        <v>0</v>
      </c>
      <c r="Y368" s="3"/>
      <c r="Z368" s="3"/>
      <c r="AA368" s="3"/>
      <c r="AB368" s="3"/>
      <c r="AC368" s="3"/>
      <c r="AD368" s="3"/>
      <c r="AE368" s="3"/>
      <c r="AF368" s="3"/>
      <c r="AG368" s="3"/>
      <c r="AH368" s="3"/>
      <c r="AI368" s="3"/>
      <c r="AJ368" s="3"/>
      <c r="AK368" s="3"/>
      <c r="AL368" s="3"/>
      <c r="AM368" s="3"/>
      <c r="AN368" s="3"/>
      <c r="AO368" s="3"/>
      <c r="AP368" s="3"/>
      <c r="AQ368" s="3"/>
    </row>
    <row r="369" spans="1:43" ht="35.450000000000003" customHeight="1" thickBot="1">
      <c r="A369" s="72" t="s">
        <v>483</v>
      </c>
      <c r="B369" s="80"/>
      <c r="C369" s="131"/>
      <c r="D369" s="4"/>
      <c r="E369" s="4"/>
      <c r="F369" s="131"/>
      <c r="G369" s="4"/>
      <c r="H369" s="4"/>
      <c r="I369" s="4"/>
      <c r="J369" s="4"/>
      <c r="K369" s="4"/>
      <c r="L369" s="3"/>
      <c r="M369" s="87" t="s">
        <v>524</v>
      </c>
      <c r="N369" s="3">
        <f t="shared" si="92"/>
        <v>0</v>
      </c>
      <c r="O369" s="3">
        <f t="shared" si="92"/>
        <v>0</v>
      </c>
      <c r="P369" s="3"/>
      <c r="Q369" s="3"/>
      <c r="R369" s="3"/>
      <c r="S369" s="3"/>
      <c r="T369" s="3"/>
      <c r="U369" s="3"/>
      <c r="V369" s="3"/>
      <c r="W369" s="3"/>
      <c r="X369" s="3">
        <f t="shared" si="93"/>
        <v>0</v>
      </c>
      <c r="Y369" s="3"/>
      <c r="Z369" s="3"/>
      <c r="AA369" s="3"/>
      <c r="AB369" s="3"/>
      <c r="AC369" s="3"/>
      <c r="AD369" s="3"/>
      <c r="AE369" s="3"/>
      <c r="AF369" s="3"/>
      <c r="AG369" s="3"/>
      <c r="AH369" s="3"/>
      <c r="AI369" s="3"/>
      <c r="AJ369" s="3"/>
      <c r="AK369" s="3"/>
      <c r="AL369" s="3"/>
      <c r="AM369" s="3"/>
      <c r="AN369" s="3"/>
      <c r="AO369" s="3"/>
      <c r="AP369" s="3"/>
      <c r="AQ369" s="3"/>
    </row>
    <row r="370" spans="1:43" ht="35.450000000000003" customHeight="1" thickBot="1">
      <c r="A370" s="72" t="s">
        <v>483</v>
      </c>
      <c r="B370" s="80"/>
      <c r="C370" s="131"/>
      <c r="D370" s="4"/>
      <c r="E370" s="4"/>
      <c r="F370" s="131"/>
      <c r="G370" s="4"/>
      <c r="H370" s="4"/>
      <c r="I370" s="4"/>
      <c r="J370" s="4"/>
      <c r="K370" s="4"/>
      <c r="L370" s="3"/>
      <c r="M370" s="87" t="s">
        <v>525</v>
      </c>
      <c r="N370" s="3">
        <f t="shared" si="92"/>
        <v>3.1</v>
      </c>
      <c r="O370" s="3">
        <f t="shared" si="92"/>
        <v>3.1</v>
      </c>
      <c r="P370" s="3"/>
      <c r="Q370" s="3"/>
      <c r="R370" s="3"/>
      <c r="S370" s="3"/>
      <c r="T370" s="3"/>
      <c r="U370" s="3"/>
      <c r="V370" s="3">
        <f>3+0.1</f>
        <v>3.1</v>
      </c>
      <c r="W370" s="3">
        <v>3.1</v>
      </c>
      <c r="X370" s="3">
        <f t="shared" si="93"/>
        <v>0</v>
      </c>
      <c r="Y370" s="3"/>
      <c r="Z370" s="3"/>
      <c r="AA370" s="3"/>
      <c r="AB370" s="3"/>
      <c r="AC370" s="3"/>
      <c r="AD370" s="3"/>
      <c r="AE370" s="3"/>
      <c r="AF370" s="3"/>
      <c r="AG370" s="3"/>
      <c r="AH370" s="3"/>
      <c r="AI370" s="3"/>
      <c r="AJ370" s="3"/>
      <c r="AK370" s="3"/>
      <c r="AL370" s="3"/>
      <c r="AM370" s="3"/>
      <c r="AN370" s="3"/>
      <c r="AO370" s="3"/>
      <c r="AP370" s="3"/>
      <c r="AQ370" s="3"/>
    </row>
    <row r="371" spans="1:43" ht="35.450000000000003" customHeight="1" thickBot="1">
      <c r="A371" s="72" t="s">
        <v>483</v>
      </c>
      <c r="B371" s="80"/>
      <c r="C371" s="131"/>
      <c r="D371" s="4"/>
      <c r="E371" s="4"/>
      <c r="F371" s="131"/>
      <c r="G371" s="4"/>
      <c r="H371" s="4"/>
      <c r="I371" s="4"/>
      <c r="J371" s="4"/>
      <c r="K371" s="4"/>
      <c r="L371" s="3"/>
      <c r="M371" s="87" t="s">
        <v>526</v>
      </c>
      <c r="N371" s="3">
        <f t="shared" si="92"/>
        <v>951.99999999999989</v>
      </c>
      <c r="O371" s="3">
        <f t="shared" si="92"/>
        <v>952</v>
      </c>
      <c r="P371" s="3"/>
      <c r="Q371" s="3"/>
      <c r="R371" s="3"/>
      <c r="S371" s="3"/>
      <c r="T371" s="3"/>
      <c r="U371" s="3"/>
      <c r="V371" s="3">
        <f>1144.6-271.6+79-79+79</f>
        <v>951.99999999999989</v>
      </c>
      <c r="W371" s="3">
        <v>952</v>
      </c>
      <c r="X371" s="3">
        <f t="shared" si="93"/>
        <v>4.9999999999999991</v>
      </c>
      <c r="Y371" s="3"/>
      <c r="Z371" s="3"/>
      <c r="AA371" s="3"/>
      <c r="AB371" s="3">
        <f>7.2+5-7.2</f>
        <v>4.9999999999999991</v>
      </c>
      <c r="AC371" s="3"/>
      <c r="AD371" s="3"/>
      <c r="AE371" s="3"/>
      <c r="AF371" s="3"/>
      <c r="AG371" s="3"/>
      <c r="AH371" s="3"/>
      <c r="AI371" s="3"/>
      <c r="AJ371" s="3"/>
      <c r="AK371" s="3"/>
      <c r="AL371" s="3"/>
      <c r="AM371" s="3"/>
      <c r="AN371" s="3"/>
      <c r="AO371" s="3"/>
      <c r="AP371" s="3"/>
      <c r="AQ371" s="3"/>
    </row>
    <row r="372" spans="1:43" ht="35.450000000000003" customHeight="1" thickBot="1">
      <c r="A372" s="72" t="s">
        <v>483</v>
      </c>
      <c r="B372" s="80"/>
      <c r="C372" s="131"/>
      <c r="D372" s="4"/>
      <c r="E372" s="4"/>
      <c r="F372" s="242" t="s">
        <v>1274</v>
      </c>
      <c r="G372" s="4" t="s">
        <v>277</v>
      </c>
      <c r="H372" s="131"/>
      <c r="I372" s="4" t="s">
        <v>1275</v>
      </c>
      <c r="J372" s="4" t="s">
        <v>277</v>
      </c>
      <c r="K372" s="4"/>
      <c r="L372" s="3"/>
      <c r="M372" s="87" t="s">
        <v>527</v>
      </c>
      <c r="N372" s="3">
        <f t="shared" si="92"/>
        <v>531.90000000000009</v>
      </c>
      <c r="O372" s="3">
        <f t="shared" si="92"/>
        <v>531.9</v>
      </c>
      <c r="P372" s="3"/>
      <c r="Q372" s="3"/>
      <c r="R372" s="3"/>
      <c r="S372" s="3"/>
      <c r="T372" s="3"/>
      <c r="U372" s="3"/>
      <c r="V372" s="3">
        <f>610.9+1000-1000-79+79-79</f>
        <v>531.90000000000009</v>
      </c>
      <c r="W372" s="3">
        <v>531.9</v>
      </c>
      <c r="X372" s="3">
        <f t="shared" si="93"/>
        <v>6097.5999999999995</v>
      </c>
      <c r="Y372" s="3"/>
      <c r="Z372" s="3">
        <v>5188.8999999999996</v>
      </c>
      <c r="AA372" s="3"/>
      <c r="AB372" s="3">
        <f>446.6-5+478.8-11.7</f>
        <v>908.7</v>
      </c>
      <c r="AC372" s="3"/>
      <c r="AD372" s="3"/>
      <c r="AE372" s="3"/>
      <c r="AF372" s="3"/>
      <c r="AG372" s="3"/>
      <c r="AH372" s="3"/>
      <c r="AI372" s="3"/>
      <c r="AJ372" s="3"/>
      <c r="AK372" s="3"/>
      <c r="AL372" s="3"/>
      <c r="AM372" s="3"/>
      <c r="AN372" s="3"/>
      <c r="AO372" s="3"/>
      <c r="AP372" s="3"/>
      <c r="AQ372" s="3"/>
    </row>
    <row r="373" spans="1:43" ht="35.450000000000003" customHeight="1" thickBot="1">
      <c r="A373" s="72" t="s">
        <v>483</v>
      </c>
      <c r="B373" s="80"/>
      <c r="C373" s="131"/>
      <c r="D373" s="4"/>
      <c r="E373" s="4"/>
      <c r="F373" s="131"/>
      <c r="G373" s="4"/>
      <c r="H373" s="4"/>
      <c r="I373" s="4"/>
      <c r="J373" s="4"/>
      <c r="K373" s="4"/>
      <c r="L373" s="3"/>
      <c r="M373" s="87" t="s">
        <v>528</v>
      </c>
      <c r="N373" s="3">
        <f t="shared" si="92"/>
        <v>0</v>
      </c>
      <c r="O373" s="3">
        <f t="shared" si="92"/>
        <v>0</v>
      </c>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row>
    <row r="374" spans="1:43" ht="35.450000000000003" customHeight="1" thickBot="1">
      <c r="A374" s="72" t="s">
        <v>483</v>
      </c>
      <c r="B374" s="80"/>
      <c r="C374" s="4"/>
      <c r="D374" s="4"/>
      <c r="E374" s="4"/>
      <c r="F374" s="4"/>
      <c r="G374" s="4"/>
      <c r="H374" s="4"/>
      <c r="I374" s="4"/>
      <c r="J374" s="4"/>
      <c r="K374" s="243"/>
      <c r="L374" s="3"/>
      <c r="M374" s="87" t="s">
        <v>529</v>
      </c>
      <c r="N374" s="3">
        <f t="shared" si="92"/>
        <v>1092.5</v>
      </c>
      <c r="O374" s="3">
        <f t="shared" si="92"/>
        <v>1092.5</v>
      </c>
      <c r="P374" s="3"/>
      <c r="Q374" s="3"/>
      <c r="R374" s="3">
        <f>1134.3-41.8</f>
        <v>1092.5</v>
      </c>
      <c r="S374" s="3">
        <v>1092.5</v>
      </c>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row>
    <row r="375" spans="1:43" ht="35.450000000000003" customHeight="1" thickBot="1">
      <c r="A375" s="72" t="s">
        <v>483</v>
      </c>
      <c r="B375" s="80"/>
      <c r="C375" s="4"/>
      <c r="D375" s="4"/>
      <c r="E375" s="4"/>
      <c r="F375" s="4"/>
      <c r="G375" s="4"/>
      <c r="H375" s="4"/>
      <c r="I375" s="4"/>
      <c r="J375" s="4"/>
      <c r="K375" s="243"/>
      <c r="L375" s="3"/>
      <c r="M375" s="87" t="s">
        <v>530</v>
      </c>
      <c r="N375" s="3">
        <f t="shared" si="92"/>
        <v>11.5</v>
      </c>
      <c r="O375" s="3">
        <f t="shared" si="92"/>
        <v>11.5</v>
      </c>
      <c r="P375" s="3"/>
      <c r="Q375" s="3"/>
      <c r="R375" s="3"/>
      <c r="S375" s="3"/>
      <c r="T375" s="3"/>
      <c r="U375" s="3"/>
      <c r="V375" s="3">
        <v>11.5</v>
      </c>
      <c r="W375" s="3">
        <v>11.5</v>
      </c>
      <c r="X375" s="3"/>
      <c r="Y375" s="3"/>
      <c r="Z375" s="3"/>
      <c r="AA375" s="3"/>
      <c r="AB375" s="3"/>
      <c r="AC375" s="3"/>
      <c r="AD375" s="3"/>
      <c r="AE375" s="3"/>
      <c r="AF375" s="3"/>
      <c r="AG375" s="3"/>
      <c r="AH375" s="3"/>
      <c r="AI375" s="3"/>
      <c r="AJ375" s="3"/>
      <c r="AK375" s="3"/>
      <c r="AL375" s="3"/>
      <c r="AM375" s="3"/>
      <c r="AN375" s="3"/>
      <c r="AO375" s="3"/>
      <c r="AP375" s="3"/>
      <c r="AQ375" s="3"/>
    </row>
    <row r="376" spans="1:43" ht="35.450000000000003" customHeight="1" thickBot="1">
      <c r="A376" s="72" t="s">
        <v>483</v>
      </c>
      <c r="B376" s="80"/>
      <c r="C376" s="4"/>
      <c r="D376" s="4"/>
      <c r="E376" s="4"/>
      <c r="F376" s="4"/>
      <c r="G376" s="4"/>
      <c r="H376" s="4"/>
      <c r="I376" s="4"/>
      <c r="J376" s="4"/>
      <c r="K376" s="4"/>
      <c r="L376" s="3"/>
      <c r="M376" s="87" t="s">
        <v>531</v>
      </c>
      <c r="N376" s="3">
        <f t="shared" si="92"/>
        <v>0</v>
      </c>
      <c r="O376" s="3">
        <f t="shared" si="92"/>
        <v>0</v>
      </c>
      <c r="P376" s="3"/>
      <c r="Q376" s="3"/>
      <c r="R376" s="3"/>
      <c r="S376" s="3"/>
      <c r="T376" s="3"/>
      <c r="U376" s="3"/>
      <c r="V376" s="3"/>
      <c r="W376" s="3"/>
      <c r="X376" s="3">
        <f>Y376+Z376+AA376+AB376</f>
        <v>0</v>
      </c>
      <c r="Y376" s="3"/>
      <c r="Z376" s="3"/>
      <c r="AA376" s="3"/>
      <c r="AB376" s="3"/>
      <c r="AC376" s="3">
        <f>AD376+AE376+AF376+AG376</f>
        <v>0</v>
      </c>
      <c r="AD376" s="3"/>
      <c r="AE376" s="3"/>
      <c r="AF376" s="3"/>
      <c r="AG376" s="3"/>
      <c r="AH376" s="3">
        <f>AI376+AJ376+AL376</f>
        <v>0</v>
      </c>
      <c r="AI376" s="3"/>
      <c r="AJ376" s="3"/>
      <c r="AK376" s="3"/>
      <c r="AL376" s="3"/>
      <c r="AM376" s="3">
        <f>AN376+AO376+AQ376</f>
        <v>0</v>
      </c>
      <c r="AN376" s="3"/>
      <c r="AO376" s="3"/>
      <c r="AP376" s="3"/>
      <c r="AQ376" s="3"/>
    </row>
    <row r="377" spans="1:43" ht="35.450000000000003" customHeight="1" thickBot="1">
      <c r="A377" s="72" t="s">
        <v>483</v>
      </c>
      <c r="B377" s="80"/>
      <c r="C377" s="4"/>
      <c r="D377" s="4"/>
      <c r="E377" s="4"/>
      <c r="F377" s="4"/>
      <c r="G377" s="4"/>
      <c r="H377" s="4"/>
      <c r="I377" s="4" t="s">
        <v>1276</v>
      </c>
      <c r="J377" s="4" t="s">
        <v>277</v>
      </c>
      <c r="K377" s="4"/>
      <c r="L377" s="3"/>
      <c r="M377" s="87" t="s">
        <v>532</v>
      </c>
      <c r="N377" s="3">
        <f t="shared" si="92"/>
        <v>112.9</v>
      </c>
      <c r="O377" s="3">
        <f t="shared" si="92"/>
        <v>112.9</v>
      </c>
      <c r="P377" s="3"/>
      <c r="Q377" s="3"/>
      <c r="R377" s="3"/>
      <c r="S377" s="3"/>
      <c r="T377" s="3"/>
      <c r="U377" s="3"/>
      <c r="V377" s="3">
        <v>112.9</v>
      </c>
      <c r="W377" s="3">
        <v>112.9</v>
      </c>
      <c r="X377" s="3">
        <f t="shared" ref="X377:X384" si="94">Y377+Z377+AA377+AB377</f>
        <v>2640.7</v>
      </c>
      <c r="Y377" s="3"/>
      <c r="Z377" s="3">
        <v>2000</v>
      </c>
      <c r="AA377" s="3"/>
      <c r="AB377" s="3">
        <v>640.70000000000005</v>
      </c>
      <c r="AC377" s="3"/>
      <c r="AD377" s="3"/>
      <c r="AE377" s="3"/>
      <c r="AF377" s="3"/>
      <c r="AG377" s="3"/>
      <c r="AH377" s="3"/>
      <c r="AI377" s="3"/>
      <c r="AJ377" s="3"/>
      <c r="AK377" s="3"/>
      <c r="AL377" s="3"/>
      <c r="AM377" s="3"/>
      <c r="AN377" s="3"/>
      <c r="AO377" s="3"/>
      <c r="AP377" s="3"/>
      <c r="AQ377" s="3"/>
    </row>
    <row r="378" spans="1:43" ht="35.450000000000003" customHeight="1" thickBot="1">
      <c r="A378" s="72" t="s">
        <v>483</v>
      </c>
      <c r="B378" s="80"/>
      <c r="C378" s="4"/>
      <c r="D378" s="4"/>
      <c r="E378" s="4"/>
      <c r="F378" s="4"/>
      <c r="G378" s="4"/>
      <c r="H378" s="4"/>
      <c r="I378" s="4" t="s">
        <v>1277</v>
      </c>
      <c r="J378" s="4"/>
      <c r="K378" s="4"/>
      <c r="L378" s="3"/>
      <c r="M378" s="87" t="s">
        <v>533</v>
      </c>
      <c r="N378" s="3"/>
      <c r="O378" s="3"/>
      <c r="P378" s="3"/>
      <c r="Q378" s="3"/>
      <c r="R378" s="3"/>
      <c r="S378" s="3"/>
      <c r="T378" s="3"/>
      <c r="U378" s="3"/>
      <c r="V378" s="3"/>
      <c r="W378" s="3"/>
      <c r="X378" s="3">
        <f t="shared" si="94"/>
        <v>108</v>
      </c>
      <c r="Y378" s="3"/>
      <c r="Z378" s="3">
        <v>90</v>
      </c>
      <c r="AA378" s="3"/>
      <c r="AB378" s="3">
        <f>3+15</f>
        <v>18</v>
      </c>
      <c r="AC378" s="3"/>
      <c r="AD378" s="3"/>
      <c r="AE378" s="3"/>
      <c r="AF378" s="3"/>
      <c r="AG378" s="3"/>
      <c r="AH378" s="3"/>
      <c r="AI378" s="3"/>
      <c r="AJ378" s="3"/>
      <c r="AK378" s="3"/>
      <c r="AL378" s="3"/>
      <c r="AM378" s="3"/>
      <c r="AN378" s="3"/>
      <c r="AO378" s="3"/>
      <c r="AP378" s="3"/>
      <c r="AQ378" s="3"/>
    </row>
    <row r="379" spans="1:43" ht="35.450000000000003" customHeight="1" thickBot="1">
      <c r="A379" s="72" t="s">
        <v>483</v>
      </c>
      <c r="B379" s="80"/>
      <c r="C379" s="4"/>
      <c r="D379" s="4"/>
      <c r="E379" s="4"/>
      <c r="F379" s="4"/>
      <c r="G379" s="4"/>
      <c r="H379" s="4"/>
      <c r="I379" s="4"/>
      <c r="J379" s="4"/>
      <c r="K379" s="4"/>
      <c r="L379" s="3"/>
      <c r="M379" s="87" t="s">
        <v>534</v>
      </c>
      <c r="N379" s="3">
        <f t="shared" si="92"/>
        <v>0</v>
      </c>
      <c r="O379" s="3">
        <f t="shared" si="92"/>
        <v>0</v>
      </c>
      <c r="P379" s="3"/>
      <c r="Q379" s="3"/>
      <c r="R379" s="3"/>
      <c r="S379" s="3"/>
      <c r="T379" s="3"/>
      <c r="U379" s="3"/>
      <c r="V379" s="3"/>
      <c r="W379" s="3"/>
      <c r="X379" s="3">
        <f t="shared" si="94"/>
        <v>0</v>
      </c>
      <c r="Y379" s="3"/>
      <c r="Z379" s="3"/>
      <c r="AA379" s="3"/>
      <c r="AB379" s="3"/>
      <c r="AC379" s="3"/>
      <c r="AD379" s="3"/>
      <c r="AE379" s="3"/>
      <c r="AF379" s="3"/>
      <c r="AG379" s="3"/>
      <c r="AH379" s="3"/>
      <c r="AI379" s="3"/>
      <c r="AJ379" s="3"/>
      <c r="AK379" s="3"/>
      <c r="AL379" s="3"/>
      <c r="AM379" s="3"/>
      <c r="AN379" s="3"/>
      <c r="AO379" s="3"/>
      <c r="AP379" s="3"/>
      <c r="AQ379" s="3"/>
    </row>
    <row r="380" spans="1:43" ht="35.450000000000003" customHeight="1" thickBot="1">
      <c r="A380" s="72" t="s">
        <v>483</v>
      </c>
      <c r="B380" s="80"/>
      <c r="C380" s="4"/>
      <c r="D380" s="4"/>
      <c r="E380" s="4"/>
      <c r="F380" s="4"/>
      <c r="G380" s="4"/>
      <c r="H380" s="4"/>
      <c r="I380" s="4"/>
      <c r="J380" s="4"/>
      <c r="K380" s="4"/>
      <c r="L380" s="3"/>
      <c r="M380" s="87" t="s">
        <v>535</v>
      </c>
      <c r="N380" s="3">
        <f t="shared" si="92"/>
        <v>3460.5</v>
      </c>
      <c r="O380" s="3">
        <f t="shared" si="92"/>
        <v>3013.9</v>
      </c>
      <c r="P380" s="3"/>
      <c r="Q380" s="3"/>
      <c r="R380" s="3">
        <v>3460.5</v>
      </c>
      <c r="S380" s="3">
        <v>3013.9</v>
      </c>
      <c r="T380" s="3"/>
      <c r="U380" s="3"/>
      <c r="V380" s="3"/>
      <c r="W380" s="3"/>
      <c r="X380" s="3">
        <f t="shared" si="94"/>
        <v>0</v>
      </c>
      <c r="Y380" s="3"/>
      <c r="Z380" s="3"/>
      <c r="AA380" s="3"/>
      <c r="AB380" s="3"/>
      <c r="AC380" s="3"/>
      <c r="AD380" s="3"/>
      <c r="AE380" s="3"/>
      <c r="AF380" s="3"/>
      <c r="AG380" s="3"/>
      <c r="AH380" s="3"/>
      <c r="AI380" s="3"/>
      <c r="AJ380" s="3"/>
      <c r="AK380" s="3"/>
      <c r="AL380" s="3"/>
      <c r="AM380" s="3"/>
      <c r="AN380" s="3"/>
      <c r="AO380" s="3"/>
      <c r="AP380" s="3"/>
      <c r="AQ380" s="3"/>
    </row>
    <row r="381" spans="1:43" ht="35.450000000000003" customHeight="1" thickBot="1">
      <c r="A381" s="72" t="s">
        <v>483</v>
      </c>
      <c r="B381" s="80"/>
      <c r="C381" s="4"/>
      <c r="D381" s="4"/>
      <c r="E381" s="4"/>
      <c r="F381" s="4"/>
      <c r="G381" s="4"/>
      <c r="H381" s="4"/>
      <c r="I381" s="4"/>
      <c r="J381" s="4"/>
      <c r="K381" s="4"/>
      <c r="L381" s="3"/>
      <c r="M381" s="87" t="s">
        <v>536</v>
      </c>
      <c r="N381" s="3">
        <f t="shared" si="92"/>
        <v>1787.1</v>
      </c>
      <c r="O381" s="3">
        <f t="shared" si="92"/>
        <v>1787.1</v>
      </c>
      <c r="P381" s="3"/>
      <c r="Q381" s="3"/>
      <c r="R381" s="3">
        <v>1787.1</v>
      </c>
      <c r="S381" s="3">
        <v>1787.1</v>
      </c>
      <c r="T381" s="3"/>
      <c r="U381" s="3"/>
      <c r="V381" s="3"/>
      <c r="W381" s="3"/>
      <c r="X381" s="3">
        <f t="shared" si="94"/>
        <v>0</v>
      </c>
      <c r="Y381" s="3"/>
      <c r="Z381" s="3"/>
      <c r="AA381" s="3"/>
      <c r="AB381" s="3"/>
      <c r="AC381" s="3"/>
      <c r="AD381" s="3"/>
      <c r="AE381" s="3"/>
      <c r="AF381" s="3"/>
      <c r="AG381" s="3"/>
      <c r="AH381" s="3"/>
      <c r="AI381" s="3"/>
      <c r="AJ381" s="3"/>
      <c r="AK381" s="3"/>
      <c r="AL381" s="3"/>
      <c r="AM381" s="3"/>
      <c r="AN381" s="3"/>
      <c r="AO381" s="3"/>
      <c r="AP381" s="3"/>
      <c r="AQ381" s="3"/>
    </row>
    <row r="382" spans="1:43" ht="35.450000000000003" customHeight="1" thickBot="1">
      <c r="A382" s="72" t="s">
        <v>483</v>
      </c>
      <c r="B382" s="80"/>
      <c r="C382" s="4"/>
      <c r="D382" s="4"/>
      <c r="E382" s="4"/>
      <c r="F382" s="4"/>
      <c r="G382" s="4"/>
      <c r="H382" s="4"/>
      <c r="I382" s="4"/>
      <c r="J382" s="4"/>
      <c r="K382" s="4"/>
      <c r="L382" s="3"/>
      <c r="M382" s="87" t="s">
        <v>537</v>
      </c>
      <c r="N382" s="3">
        <f t="shared" si="92"/>
        <v>150</v>
      </c>
      <c r="O382" s="3">
        <f t="shared" si="92"/>
        <v>150</v>
      </c>
      <c r="P382" s="3"/>
      <c r="Q382" s="3"/>
      <c r="R382" s="3">
        <v>150</v>
      </c>
      <c r="S382" s="3">
        <v>150</v>
      </c>
      <c r="T382" s="3"/>
      <c r="U382" s="3"/>
      <c r="V382" s="3"/>
      <c r="W382" s="3"/>
      <c r="X382" s="3">
        <f t="shared" si="94"/>
        <v>0</v>
      </c>
      <c r="Y382" s="3"/>
      <c r="Z382" s="3"/>
      <c r="AA382" s="3"/>
      <c r="AB382" s="3"/>
      <c r="AC382" s="3"/>
      <c r="AD382" s="3"/>
      <c r="AE382" s="3"/>
      <c r="AF382" s="3"/>
      <c r="AG382" s="3"/>
      <c r="AH382" s="3"/>
      <c r="AI382" s="3"/>
      <c r="AJ382" s="3"/>
      <c r="AK382" s="3"/>
      <c r="AL382" s="3"/>
      <c r="AM382" s="3"/>
      <c r="AN382" s="3"/>
      <c r="AO382" s="3"/>
      <c r="AP382" s="3"/>
      <c r="AQ382" s="3"/>
    </row>
    <row r="383" spans="1:43" ht="35.450000000000003" customHeight="1" thickBot="1">
      <c r="A383" s="72" t="s">
        <v>483</v>
      </c>
      <c r="B383" s="80"/>
      <c r="C383" s="4"/>
      <c r="D383" s="4"/>
      <c r="E383" s="4"/>
      <c r="F383" s="4"/>
      <c r="G383" s="4"/>
      <c r="H383" s="4"/>
      <c r="I383" s="4" t="s">
        <v>1278</v>
      </c>
      <c r="J383" s="4"/>
      <c r="K383" s="4"/>
      <c r="L383" s="3"/>
      <c r="M383" s="87" t="s">
        <v>538</v>
      </c>
      <c r="N383" s="3"/>
      <c r="O383" s="3"/>
      <c r="P383" s="3"/>
      <c r="Q383" s="3"/>
      <c r="R383" s="3"/>
      <c r="S383" s="3"/>
      <c r="T383" s="3"/>
      <c r="U383" s="3"/>
      <c r="V383" s="3"/>
      <c r="W383" s="3"/>
      <c r="X383" s="3">
        <f t="shared" si="94"/>
        <v>630</v>
      </c>
      <c r="Y383" s="3"/>
      <c r="Z383" s="3">
        <f>630-32.9</f>
        <v>597.1</v>
      </c>
      <c r="AA383" s="3"/>
      <c r="AB383" s="3">
        <v>32.9</v>
      </c>
      <c r="AC383" s="3"/>
      <c r="AD383" s="3"/>
      <c r="AE383" s="3"/>
      <c r="AF383" s="3"/>
      <c r="AG383" s="3"/>
      <c r="AH383" s="3"/>
      <c r="AI383" s="3"/>
      <c r="AJ383" s="3"/>
      <c r="AK383" s="3"/>
      <c r="AL383" s="3"/>
      <c r="AM383" s="3"/>
      <c r="AN383" s="3"/>
      <c r="AO383" s="3"/>
      <c r="AP383" s="3"/>
      <c r="AQ383" s="3"/>
    </row>
    <row r="384" spans="1:43" ht="35.450000000000003" customHeight="1" thickBot="1">
      <c r="A384" s="72" t="s">
        <v>483</v>
      </c>
      <c r="B384" s="80"/>
      <c r="C384" s="4"/>
      <c r="D384" s="4"/>
      <c r="E384" s="4"/>
      <c r="F384" s="4"/>
      <c r="G384" s="4"/>
      <c r="H384" s="4"/>
      <c r="I384" s="4"/>
      <c r="J384" s="4"/>
      <c r="K384" s="4"/>
      <c r="L384" s="3"/>
      <c r="M384" s="87" t="s">
        <v>539</v>
      </c>
      <c r="N384" s="3"/>
      <c r="O384" s="3">
        <f t="shared" ref="O384:O406" si="95">Q384+S384+U384+W384</f>
        <v>0</v>
      </c>
      <c r="P384" s="3"/>
      <c r="Q384" s="3"/>
      <c r="R384" s="3"/>
      <c r="S384" s="3"/>
      <c r="T384" s="3"/>
      <c r="U384" s="3"/>
      <c r="V384" s="3"/>
      <c r="W384" s="3"/>
      <c r="X384" s="3">
        <f t="shared" si="94"/>
        <v>0</v>
      </c>
      <c r="Y384" s="3"/>
      <c r="Z384" s="3"/>
      <c r="AA384" s="3"/>
      <c r="AB384" s="3">
        <f>3-3</f>
        <v>0</v>
      </c>
      <c r="AC384" s="3"/>
      <c r="AD384" s="3"/>
      <c r="AE384" s="3"/>
      <c r="AF384" s="3"/>
      <c r="AG384" s="3"/>
      <c r="AH384" s="3"/>
      <c r="AI384" s="3"/>
      <c r="AJ384" s="3"/>
      <c r="AK384" s="3"/>
      <c r="AL384" s="3"/>
      <c r="AM384" s="3"/>
      <c r="AN384" s="3"/>
      <c r="AO384" s="3"/>
      <c r="AP384" s="3"/>
      <c r="AQ384" s="3"/>
    </row>
    <row r="385" spans="1:43" ht="35.450000000000003" customHeight="1" thickBot="1">
      <c r="A385" s="72" t="s">
        <v>483</v>
      </c>
      <c r="B385" s="80"/>
      <c r="C385" s="4"/>
      <c r="D385" s="4"/>
      <c r="E385" s="4"/>
      <c r="F385" s="4"/>
      <c r="G385" s="4"/>
      <c r="H385" s="4"/>
      <c r="I385" s="4"/>
      <c r="J385" s="4"/>
      <c r="K385" s="4"/>
      <c r="L385" s="3"/>
      <c r="M385" s="87" t="s">
        <v>540</v>
      </c>
      <c r="N385" s="3"/>
      <c r="O385" s="3">
        <f t="shared" si="95"/>
        <v>0</v>
      </c>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row>
    <row r="386" spans="1:43" ht="35.450000000000003" customHeight="1" thickBot="1">
      <c r="A386" s="72" t="s">
        <v>483</v>
      </c>
      <c r="B386" s="80"/>
      <c r="C386" s="4"/>
      <c r="D386" s="4"/>
      <c r="E386" s="4"/>
      <c r="F386" s="4"/>
      <c r="G386" s="4"/>
      <c r="H386" s="4"/>
      <c r="I386" s="4"/>
      <c r="J386" s="4"/>
      <c r="K386" s="4"/>
      <c r="L386" s="3"/>
      <c r="M386" s="87" t="s">
        <v>541</v>
      </c>
      <c r="N386" s="3">
        <f>P386+R386+T386+V386</f>
        <v>0</v>
      </c>
      <c r="O386" s="3">
        <f t="shared" si="95"/>
        <v>0</v>
      </c>
      <c r="P386" s="3"/>
      <c r="Q386" s="3"/>
      <c r="R386" s="3"/>
      <c r="S386" s="3"/>
      <c r="T386" s="3"/>
      <c r="U386" s="3"/>
      <c r="V386" s="3"/>
      <c r="W386" s="3"/>
      <c r="X386" s="3">
        <f>Y386+Z386+AA386+AB386</f>
        <v>0</v>
      </c>
      <c r="Y386" s="3"/>
      <c r="Z386" s="3"/>
      <c r="AA386" s="3"/>
      <c r="AB386" s="3"/>
      <c r="AC386" s="3">
        <f>AD386+AE386+AF386+AG386</f>
        <v>0</v>
      </c>
      <c r="AD386" s="3"/>
      <c r="AE386" s="3"/>
      <c r="AF386" s="3"/>
      <c r="AG386" s="3"/>
      <c r="AH386" s="3">
        <f>AI386+AJ386+AL386</f>
        <v>0</v>
      </c>
      <c r="AI386" s="3"/>
      <c r="AJ386" s="3"/>
      <c r="AK386" s="3"/>
      <c r="AL386" s="3"/>
      <c r="AM386" s="3">
        <f>AN386+AO386+AQ386</f>
        <v>0</v>
      </c>
      <c r="AN386" s="3"/>
      <c r="AO386" s="3"/>
      <c r="AP386" s="3"/>
      <c r="AQ386" s="3"/>
    </row>
    <row r="387" spans="1:43" ht="35.450000000000003" customHeight="1" thickBot="1">
      <c r="A387" s="72" t="s">
        <v>483</v>
      </c>
      <c r="B387" s="80"/>
      <c r="F387" s="4"/>
      <c r="G387" s="4"/>
      <c r="H387" s="4"/>
      <c r="I387" s="4"/>
      <c r="J387" s="4"/>
      <c r="K387" s="4"/>
      <c r="L387" s="3"/>
      <c r="M387" s="87" t="s">
        <v>542</v>
      </c>
      <c r="N387" s="3">
        <f>P387+R387+T387+V387</f>
        <v>0</v>
      </c>
      <c r="O387" s="3">
        <f t="shared" si="95"/>
        <v>0</v>
      </c>
      <c r="P387" s="3"/>
      <c r="Q387" s="3"/>
      <c r="R387" s="3"/>
      <c r="S387" s="3"/>
      <c r="T387" s="3"/>
      <c r="U387" s="3"/>
      <c r="V387" s="3"/>
      <c r="W387" s="3"/>
      <c r="X387" s="3">
        <f>Y387+Z387+AA387+AB387</f>
        <v>0</v>
      </c>
      <c r="Y387" s="3"/>
      <c r="Z387" s="3"/>
      <c r="AA387" s="3"/>
      <c r="AB387" s="3"/>
      <c r="AC387" s="3">
        <f>AD387+AE387+AF387+AG387</f>
        <v>0</v>
      </c>
      <c r="AD387" s="3"/>
      <c r="AE387" s="3"/>
      <c r="AF387" s="3"/>
      <c r="AG387" s="3"/>
      <c r="AH387" s="3">
        <f>AI387+AJ387+AL387</f>
        <v>0</v>
      </c>
      <c r="AI387" s="3"/>
      <c r="AJ387" s="3"/>
      <c r="AK387" s="3"/>
      <c r="AL387" s="3"/>
      <c r="AM387" s="3">
        <f>AN387+AO387+AQ387</f>
        <v>0</v>
      </c>
      <c r="AN387" s="3"/>
      <c r="AO387" s="3"/>
      <c r="AP387" s="3"/>
      <c r="AQ387" s="3"/>
    </row>
    <row r="388" spans="1:43" ht="35.450000000000003" customHeight="1" thickBot="1">
      <c r="A388" s="72" t="s">
        <v>483</v>
      </c>
      <c r="B388" s="80"/>
      <c r="C388" s="64"/>
      <c r="D388" s="64"/>
      <c r="E388" s="64"/>
      <c r="F388" s="179"/>
      <c r="G388" s="64"/>
      <c r="H388" s="223"/>
      <c r="I388" s="4"/>
      <c r="J388" s="4"/>
      <c r="K388" s="4"/>
      <c r="L388" s="3"/>
      <c r="M388" s="87" t="s">
        <v>543</v>
      </c>
      <c r="N388" s="3"/>
      <c r="O388" s="3">
        <f t="shared" si="95"/>
        <v>0</v>
      </c>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row>
    <row r="389" spans="1:43" ht="35.450000000000003" customHeight="1" thickBot="1">
      <c r="A389" s="72" t="s">
        <v>483</v>
      </c>
      <c r="B389" s="80"/>
      <c r="C389" s="64"/>
      <c r="D389" s="64"/>
      <c r="E389" s="64"/>
      <c r="F389" s="179"/>
      <c r="G389" s="64"/>
      <c r="H389" s="223"/>
      <c r="I389" s="4"/>
      <c r="J389" s="4"/>
      <c r="K389" s="4"/>
      <c r="L389" s="3"/>
      <c r="M389" s="87" t="s">
        <v>544</v>
      </c>
      <c r="N389" s="3"/>
      <c r="O389" s="3">
        <f t="shared" si="95"/>
        <v>0</v>
      </c>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row>
    <row r="390" spans="1:43" ht="35.450000000000003" customHeight="1" thickBot="1">
      <c r="A390" s="72" t="s">
        <v>483</v>
      </c>
      <c r="B390" s="80"/>
      <c r="C390" s="64"/>
      <c r="D390" s="64"/>
      <c r="E390" s="64"/>
      <c r="F390" s="179"/>
      <c r="G390" s="64"/>
      <c r="H390" s="223"/>
      <c r="I390" s="4"/>
      <c r="J390" s="4"/>
      <c r="K390" s="4"/>
      <c r="L390" s="3"/>
      <c r="M390" s="87" t="s">
        <v>545</v>
      </c>
      <c r="N390" s="3"/>
      <c r="O390" s="3">
        <f t="shared" si="95"/>
        <v>0</v>
      </c>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row>
    <row r="391" spans="1:43" ht="35.450000000000003" customHeight="1" thickBot="1">
      <c r="A391" s="72" t="s">
        <v>483</v>
      </c>
      <c r="B391" s="80"/>
      <c r="C391" s="4"/>
      <c r="D391" s="4"/>
      <c r="E391" s="4"/>
      <c r="F391" s="4"/>
      <c r="G391" s="4"/>
      <c r="H391" s="4"/>
      <c r="I391" s="208" t="s">
        <v>1269</v>
      </c>
      <c r="J391" s="4" t="s">
        <v>277</v>
      </c>
      <c r="K391" s="4"/>
      <c r="L391" s="3"/>
      <c r="M391" s="87" t="s">
        <v>546</v>
      </c>
      <c r="N391" s="3">
        <f t="shared" ref="N391:N398" si="96">P391+R391+T391+V391</f>
        <v>9753.1999999999989</v>
      </c>
      <c r="O391" s="3">
        <f t="shared" si="95"/>
        <v>9753.2000000000007</v>
      </c>
      <c r="P391" s="3"/>
      <c r="Q391" s="3"/>
      <c r="R391" s="3"/>
      <c r="S391" s="3"/>
      <c r="T391" s="3"/>
      <c r="U391" s="3"/>
      <c r="V391" s="3">
        <f>5728.1+273.8+455.9+260+208+2409.5+46.3+371.6</f>
        <v>9753.1999999999989</v>
      </c>
      <c r="W391" s="3">
        <v>9753.2000000000007</v>
      </c>
      <c r="X391" s="3">
        <f>Y391+Z391+AA391+AB391</f>
        <v>16828.7</v>
      </c>
      <c r="Y391" s="3"/>
      <c r="Z391" s="3"/>
      <c r="AA391" s="3"/>
      <c r="AB391" s="3">
        <f>10391.2+258.8+1170+1290.5+150+2200+840+528.2</f>
        <v>16828.7</v>
      </c>
      <c r="AC391" s="3">
        <f>AD391+AE391+AF391+AG391</f>
        <v>10665.1</v>
      </c>
      <c r="AD391" s="3"/>
      <c r="AE391" s="3"/>
      <c r="AF391" s="3"/>
      <c r="AG391" s="3">
        <f>12165.1-1500</f>
        <v>10665.1</v>
      </c>
      <c r="AH391" s="3">
        <f>AI391+AJ391+AL391</f>
        <v>10665.1</v>
      </c>
      <c r="AI391" s="3"/>
      <c r="AJ391" s="3"/>
      <c r="AK391" s="3"/>
      <c r="AL391" s="3">
        <f>12165.1-1500</f>
        <v>10665.1</v>
      </c>
      <c r="AM391" s="3">
        <f>AN391+AO391+AQ391</f>
        <v>10665.1</v>
      </c>
      <c r="AN391" s="3"/>
      <c r="AO391" s="3"/>
      <c r="AP391" s="3"/>
      <c r="AQ391" s="3">
        <f>12165.1-1500</f>
        <v>10665.1</v>
      </c>
    </row>
    <row r="392" spans="1:43" ht="35.450000000000003" customHeight="1" thickBot="1">
      <c r="A392" s="72" t="s">
        <v>483</v>
      </c>
      <c r="B392" s="80"/>
      <c r="C392" s="4"/>
      <c r="D392" s="4"/>
      <c r="E392" s="4"/>
      <c r="F392" s="4"/>
      <c r="G392" s="4"/>
      <c r="H392" s="4"/>
      <c r="I392" s="4"/>
      <c r="J392" s="4"/>
      <c r="K392" s="4"/>
      <c r="L392" s="3"/>
      <c r="M392" s="87" t="s">
        <v>547</v>
      </c>
      <c r="N392" s="3">
        <f t="shared" si="96"/>
        <v>96.5</v>
      </c>
      <c r="O392" s="3">
        <f t="shared" si="95"/>
        <v>96.5</v>
      </c>
      <c r="P392" s="3"/>
      <c r="Q392" s="3"/>
      <c r="R392" s="3"/>
      <c r="S392" s="3"/>
      <c r="T392" s="3"/>
      <c r="U392" s="3"/>
      <c r="V392" s="3">
        <v>96.5</v>
      </c>
      <c r="W392" s="3">
        <v>96.5</v>
      </c>
      <c r="X392" s="3">
        <f>Y392+Z392+AA392+AB392</f>
        <v>509.5</v>
      </c>
      <c r="Y392" s="3"/>
      <c r="Z392" s="3"/>
      <c r="AA392" s="3"/>
      <c r="AB392" s="3">
        <v>509.5</v>
      </c>
      <c r="AC392" s="3">
        <f>AD392+AE392+AF392+AG392</f>
        <v>0</v>
      </c>
      <c r="AD392" s="3"/>
      <c r="AE392" s="3"/>
      <c r="AF392" s="3"/>
      <c r="AG392" s="3"/>
      <c r="AH392" s="3">
        <f>AI392+AJ392+AL392</f>
        <v>0</v>
      </c>
      <c r="AI392" s="3"/>
      <c r="AJ392" s="3"/>
      <c r="AK392" s="3"/>
      <c r="AL392" s="3"/>
      <c r="AM392" s="3">
        <f>AN392+AO392+AQ392</f>
        <v>0</v>
      </c>
      <c r="AN392" s="3"/>
      <c r="AO392" s="3"/>
      <c r="AP392" s="3"/>
      <c r="AQ392" s="3"/>
    </row>
    <row r="393" spans="1:43" ht="35.450000000000003" customHeight="1" thickBot="1">
      <c r="A393" s="72" t="s">
        <v>483</v>
      </c>
      <c r="B393" s="80"/>
      <c r="C393" s="4"/>
      <c r="D393" s="4"/>
      <c r="E393" s="4"/>
      <c r="F393" s="4"/>
      <c r="G393" s="4"/>
      <c r="H393" s="4"/>
      <c r="I393" s="208"/>
      <c r="J393" s="4"/>
      <c r="K393" s="4"/>
      <c r="L393" s="3"/>
      <c r="M393" s="87" t="s">
        <v>548</v>
      </c>
      <c r="N393" s="3">
        <f t="shared" si="96"/>
        <v>5071.2999999999993</v>
      </c>
      <c r="O393" s="3">
        <f t="shared" si="95"/>
        <v>5071.3</v>
      </c>
      <c r="P393" s="3"/>
      <c r="Q393" s="3"/>
      <c r="R393" s="3"/>
      <c r="S393" s="3"/>
      <c r="T393" s="3"/>
      <c r="U393" s="3"/>
      <c r="V393" s="3">
        <f>4819.9+250.9+0.4+0.1</f>
        <v>5071.2999999999993</v>
      </c>
      <c r="W393" s="3">
        <v>5071.3</v>
      </c>
      <c r="X393" s="3">
        <f>Y393+Z393+AA393+AB393</f>
        <v>5626</v>
      </c>
      <c r="Y393" s="3"/>
      <c r="Z393" s="3"/>
      <c r="AA393" s="3"/>
      <c r="AB393" s="3">
        <f>6154.2-528.2</f>
        <v>5626</v>
      </c>
      <c r="AC393" s="3">
        <f>AD393+AE393+AF393+AG393</f>
        <v>6154.2</v>
      </c>
      <c r="AD393" s="3"/>
      <c r="AE393" s="3"/>
      <c r="AF393" s="3"/>
      <c r="AG393" s="3">
        <v>6154.2</v>
      </c>
      <c r="AH393" s="3">
        <f>AI393+AJ393+AL393</f>
        <v>6154.2</v>
      </c>
      <c r="AI393" s="3"/>
      <c r="AJ393" s="3"/>
      <c r="AK393" s="3"/>
      <c r="AL393" s="3">
        <v>6154.2</v>
      </c>
      <c r="AM393" s="3">
        <f>AN393+AO393+AQ393</f>
        <v>6154.2</v>
      </c>
      <c r="AN393" s="3"/>
      <c r="AO393" s="3"/>
      <c r="AP393" s="3"/>
      <c r="AQ393" s="3">
        <v>6154.2</v>
      </c>
    </row>
    <row r="394" spans="1:43" ht="35.450000000000003" customHeight="1" thickBot="1">
      <c r="A394" s="72" t="s">
        <v>483</v>
      </c>
      <c r="B394" s="80"/>
      <c r="C394" s="4"/>
      <c r="D394" s="4"/>
      <c r="E394" s="4"/>
      <c r="F394" s="4"/>
      <c r="G394" s="4"/>
      <c r="H394" s="4"/>
      <c r="I394" s="208"/>
      <c r="J394" s="4"/>
      <c r="K394" s="4"/>
      <c r="L394" s="3"/>
      <c r="M394" s="87" t="s">
        <v>549</v>
      </c>
      <c r="N394" s="3">
        <f t="shared" si="96"/>
        <v>47200.200000000004</v>
      </c>
      <c r="O394" s="3">
        <f t="shared" si="95"/>
        <v>47200.2</v>
      </c>
      <c r="P394" s="3"/>
      <c r="Q394" s="3"/>
      <c r="R394" s="3">
        <v>8011.5</v>
      </c>
      <c r="S394" s="3">
        <v>8011.5</v>
      </c>
      <c r="T394" s="3"/>
      <c r="U394" s="3"/>
      <c r="V394" s="3">
        <f>36099.4+5799.5+383.4+4917.9-8011.5</f>
        <v>39188.700000000004</v>
      </c>
      <c r="W394" s="3">
        <f>47200.2-8011.5</f>
        <v>39188.699999999997</v>
      </c>
      <c r="X394" s="3">
        <f>Y394+Z394+AA394+AB394</f>
        <v>60871.6</v>
      </c>
      <c r="Y394" s="3"/>
      <c r="Z394" s="3"/>
      <c r="AA394" s="3"/>
      <c r="AB394" s="3">
        <f>47890.4+8681.1-61.2+3426.7+934.6</f>
        <v>60871.6</v>
      </c>
      <c r="AC394" s="3">
        <f>AD394+AE394+AF394+AG394</f>
        <v>47890.400000000001</v>
      </c>
      <c r="AD394" s="3"/>
      <c r="AE394" s="3"/>
      <c r="AF394" s="3"/>
      <c r="AG394" s="3">
        <v>47890.400000000001</v>
      </c>
      <c r="AH394" s="3">
        <f>AI394+AJ394+AL394</f>
        <v>47890.400000000001</v>
      </c>
      <c r="AI394" s="3"/>
      <c r="AJ394" s="3"/>
      <c r="AK394" s="3"/>
      <c r="AL394" s="3">
        <v>47890.400000000001</v>
      </c>
      <c r="AM394" s="3">
        <f>AN394+AO394+AQ394</f>
        <v>47890.400000000001</v>
      </c>
      <c r="AN394" s="3"/>
      <c r="AO394" s="3"/>
      <c r="AP394" s="3"/>
      <c r="AQ394" s="3">
        <v>47890.400000000001</v>
      </c>
    </row>
    <row r="395" spans="1:43" ht="35.450000000000003" customHeight="1" thickBot="1">
      <c r="A395" s="72" t="s">
        <v>483</v>
      </c>
      <c r="B395" s="80"/>
      <c r="C395" s="4"/>
      <c r="D395" s="4"/>
      <c r="E395" s="4"/>
      <c r="F395" s="4"/>
      <c r="G395" s="4"/>
      <c r="H395" s="4"/>
      <c r="I395" s="4"/>
      <c r="J395" s="4"/>
      <c r="K395" s="4"/>
      <c r="L395" s="3"/>
      <c r="M395" s="87" t="s">
        <v>550</v>
      </c>
      <c r="N395" s="3">
        <f t="shared" si="96"/>
        <v>0</v>
      </c>
      <c r="O395" s="3">
        <f t="shared" si="95"/>
        <v>0</v>
      </c>
      <c r="P395" s="3"/>
      <c r="Q395" s="3"/>
      <c r="R395" s="3"/>
      <c r="S395" s="3"/>
      <c r="T395" s="3"/>
      <c r="U395" s="3"/>
      <c r="V395" s="3"/>
      <c r="W395" s="3"/>
      <c r="X395" s="3">
        <f>Y395+Z395+AA395+AB395</f>
        <v>0</v>
      </c>
      <c r="Y395" s="3"/>
      <c r="Z395" s="3"/>
      <c r="AA395" s="3"/>
      <c r="AB395" s="3"/>
      <c r="AC395" s="3">
        <f>AD395+AE395+AF395+AG395</f>
        <v>0</v>
      </c>
      <c r="AD395" s="3"/>
      <c r="AE395" s="3"/>
      <c r="AF395" s="3"/>
      <c r="AG395" s="3"/>
      <c r="AH395" s="3">
        <f>AI395+AJ395+AL395</f>
        <v>0</v>
      </c>
      <c r="AI395" s="3"/>
      <c r="AJ395" s="3"/>
      <c r="AK395" s="3"/>
      <c r="AL395" s="3"/>
      <c r="AM395" s="3">
        <f>AN395+AO395+AQ395</f>
        <v>0</v>
      </c>
      <c r="AN395" s="3"/>
      <c r="AO395" s="3"/>
      <c r="AP395" s="3"/>
      <c r="AQ395" s="3"/>
    </row>
    <row r="396" spans="1:43" ht="35.450000000000003" customHeight="1" thickBot="1">
      <c r="A396" s="72" t="s">
        <v>483</v>
      </c>
      <c r="B396" s="80"/>
      <c r="C396" s="64"/>
      <c r="D396" s="64"/>
      <c r="E396" s="64"/>
      <c r="F396" s="179"/>
      <c r="G396" s="64"/>
      <c r="H396" s="223"/>
      <c r="I396" s="4"/>
      <c r="J396" s="4"/>
      <c r="K396" s="4"/>
      <c r="L396" s="3"/>
      <c r="M396" s="87" t="s">
        <v>551</v>
      </c>
      <c r="N396" s="3">
        <f t="shared" si="96"/>
        <v>0</v>
      </c>
      <c r="O396" s="3">
        <f t="shared" si="95"/>
        <v>0</v>
      </c>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row>
    <row r="397" spans="1:43" ht="35.450000000000003" customHeight="1" thickBot="1">
      <c r="A397" s="72" t="s">
        <v>483</v>
      </c>
      <c r="B397" s="80"/>
      <c r="C397" s="64"/>
      <c r="D397" s="64"/>
      <c r="E397" s="64"/>
      <c r="F397" s="179"/>
      <c r="G397" s="64"/>
      <c r="H397" s="223"/>
      <c r="I397" s="4"/>
      <c r="J397" s="4"/>
      <c r="K397" s="4"/>
      <c r="L397" s="3"/>
      <c r="M397" s="87" t="s">
        <v>552</v>
      </c>
      <c r="N397" s="3">
        <f t="shared" si="96"/>
        <v>0</v>
      </c>
      <c r="O397" s="3">
        <f t="shared" si="95"/>
        <v>0</v>
      </c>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row>
    <row r="398" spans="1:43" ht="35.450000000000003" customHeight="1" thickBot="1">
      <c r="A398" s="72" t="s">
        <v>483</v>
      </c>
      <c r="B398" s="80"/>
      <c r="C398" s="64"/>
      <c r="D398" s="64"/>
      <c r="E398" s="64"/>
      <c r="F398" s="179"/>
      <c r="G398" s="64"/>
      <c r="H398" s="223"/>
      <c r="I398" s="4"/>
      <c r="J398" s="4"/>
      <c r="K398" s="4"/>
      <c r="L398" s="3"/>
      <c r="M398" s="87" t="s">
        <v>553</v>
      </c>
      <c r="N398" s="3">
        <f t="shared" si="96"/>
        <v>190.7</v>
      </c>
      <c r="O398" s="3">
        <f t="shared" si="95"/>
        <v>188.5</v>
      </c>
      <c r="P398" s="3"/>
      <c r="Q398" s="3"/>
      <c r="R398" s="3">
        <v>190.7</v>
      </c>
      <c r="S398" s="3">
        <v>188.5</v>
      </c>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row>
    <row r="399" spans="1:43" ht="35.450000000000003" customHeight="1" thickBot="1">
      <c r="A399" s="72" t="s">
        <v>483</v>
      </c>
      <c r="B399" s="80"/>
      <c r="C399" s="64"/>
      <c r="D399" s="64"/>
      <c r="E399" s="64"/>
      <c r="F399" s="179"/>
      <c r="G399" s="64"/>
      <c r="H399" s="223"/>
      <c r="I399" s="4"/>
      <c r="J399" s="4"/>
      <c r="K399" s="4"/>
      <c r="L399" s="3"/>
      <c r="M399" s="87" t="s">
        <v>554</v>
      </c>
      <c r="N399" s="3"/>
      <c r="O399" s="3">
        <f t="shared" si="95"/>
        <v>0</v>
      </c>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row>
    <row r="400" spans="1:43" ht="35.450000000000003" customHeight="1" thickBot="1">
      <c r="A400" s="72" t="s">
        <v>483</v>
      </c>
      <c r="B400" s="80"/>
      <c r="C400" s="64"/>
      <c r="D400" s="64"/>
      <c r="E400" s="64"/>
      <c r="F400" s="179"/>
      <c r="G400" s="64"/>
      <c r="H400" s="223"/>
      <c r="I400" s="4"/>
      <c r="J400" s="4"/>
      <c r="K400" s="4"/>
      <c r="L400" s="3"/>
      <c r="M400" s="87" t="s">
        <v>555</v>
      </c>
      <c r="N400" s="3"/>
      <c r="O400" s="3">
        <f t="shared" si="95"/>
        <v>0</v>
      </c>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row>
    <row r="401" spans="1:43" ht="35.450000000000003" customHeight="1" thickBot="1">
      <c r="A401" s="72" t="s">
        <v>483</v>
      </c>
      <c r="B401" s="80"/>
      <c r="C401" s="4"/>
      <c r="D401" s="4"/>
      <c r="E401" s="4"/>
      <c r="F401" s="4"/>
      <c r="G401" s="4"/>
      <c r="H401" s="4"/>
      <c r="I401" s="4" t="s">
        <v>556</v>
      </c>
      <c r="J401" s="4" t="s">
        <v>277</v>
      </c>
      <c r="K401" s="4"/>
      <c r="L401" s="3"/>
      <c r="M401" s="87" t="s">
        <v>557</v>
      </c>
      <c r="N401" s="3">
        <f>P401+R401+T401+V401</f>
        <v>48666.799999999996</v>
      </c>
      <c r="O401" s="3">
        <f t="shared" si="95"/>
        <v>47720.3</v>
      </c>
      <c r="P401" s="3"/>
      <c r="Q401" s="3"/>
      <c r="R401" s="3">
        <v>5934.3</v>
      </c>
      <c r="S401" s="3">
        <v>5934.3</v>
      </c>
      <c r="T401" s="3"/>
      <c r="U401" s="3"/>
      <c r="V401" s="3">
        <f>33984.7+7339.7-54.1+200.4+4259+1541.4-292+1687.7-5934.3</f>
        <v>42732.499999999993</v>
      </c>
      <c r="W401" s="3">
        <f>47720.3-5934.3</f>
        <v>41786</v>
      </c>
      <c r="X401" s="3">
        <f>Y401+Z401+AA401+AB401</f>
        <v>64009.69999999999</v>
      </c>
      <c r="Y401" s="3"/>
      <c r="Z401" s="3"/>
      <c r="AA401" s="3"/>
      <c r="AB401" s="3">
        <f>54659.7+4832.2+561+395.6+3561.2</f>
        <v>64009.69999999999</v>
      </c>
      <c r="AC401" s="3">
        <f>AD401+AE401+AF401+AG401</f>
        <v>54659.7</v>
      </c>
      <c r="AD401" s="3"/>
      <c r="AE401" s="3"/>
      <c r="AF401" s="3"/>
      <c r="AG401" s="3">
        <v>54659.7</v>
      </c>
      <c r="AH401" s="3">
        <f>AI401+AJ401+AL401</f>
        <v>54659.7</v>
      </c>
      <c r="AI401" s="3"/>
      <c r="AJ401" s="3"/>
      <c r="AK401" s="3"/>
      <c r="AL401" s="3">
        <v>54659.7</v>
      </c>
      <c r="AM401" s="3">
        <f>AN401+AO401+AQ401</f>
        <v>54659.7</v>
      </c>
      <c r="AN401" s="3"/>
      <c r="AO401" s="3"/>
      <c r="AP401" s="3"/>
      <c r="AQ401" s="3">
        <v>54659.7</v>
      </c>
    </row>
    <row r="402" spans="1:43" ht="35.450000000000003" customHeight="1" thickBot="1">
      <c r="A402" s="72" t="s">
        <v>483</v>
      </c>
      <c r="B402" s="80"/>
      <c r="C402" s="4"/>
      <c r="D402" s="4"/>
      <c r="E402" s="4"/>
      <c r="F402" s="4"/>
      <c r="G402" s="4"/>
      <c r="H402" s="4"/>
      <c r="I402" s="4"/>
      <c r="J402" s="4"/>
      <c r="K402" s="4"/>
      <c r="L402" s="3"/>
      <c r="M402" s="87" t="s">
        <v>558</v>
      </c>
      <c r="N402" s="3">
        <f>P402+R402+T402+V402</f>
        <v>7864.3</v>
      </c>
      <c r="O402" s="3">
        <f t="shared" si="95"/>
        <v>7473</v>
      </c>
      <c r="P402" s="3"/>
      <c r="Q402" s="3"/>
      <c r="R402" s="3"/>
      <c r="S402" s="3"/>
      <c r="T402" s="3"/>
      <c r="U402" s="3"/>
      <c r="V402" s="3">
        <f>2563+8.3+36.8+54.1+4837.8+76.7-3+292-1.3+1.3-1.4</f>
        <v>7864.3</v>
      </c>
      <c r="W402" s="3">
        <v>7473</v>
      </c>
      <c r="X402" s="3">
        <f>Y402+Z402+AA402+AB402</f>
        <v>5197.3999999999996</v>
      </c>
      <c r="Y402" s="3"/>
      <c r="Z402" s="3"/>
      <c r="AA402" s="3"/>
      <c r="AB402" s="3">
        <f>3186.7+250+1385.7+90+285</f>
        <v>5197.3999999999996</v>
      </c>
      <c r="AC402" s="3">
        <f>AD402+AE402+AF402+AG402</f>
        <v>4026.5</v>
      </c>
      <c r="AD402" s="3"/>
      <c r="AE402" s="3"/>
      <c r="AF402" s="3"/>
      <c r="AG402" s="3">
        <f>12026.5-8000</f>
        <v>4026.5</v>
      </c>
      <c r="AH402" s="3">
        <f>AI402+AJ402+AL402</f>
        <v>4026.5</v>
      </c>
      <c r="AI402" s="3"/>
      <c r="AJ402" s="3"/>
      <c r="AK402" s="3"/>
      <c r="AL402" s="3">
        <f>12026.5-8000</f>
        <v>4026.5</v>
      </c>
      <c r="AM402" s="3">
        <f>AN402+AO402+AQ402</f>
        <v>4026.5</v>
      </c>
      <c r="AN402" s="3"/>
      <c r="AO402" s="3"/>
      <c r="AP402" s="3"/>
      <c r="AQ402" s="3">
        <f>12026.5-8000</f>
        <v>4026.5</v>
      </c>
    </row>
    <row r="403" spans="1:43" ht="35.450000000000003" customHeight="1" thickBot="1">
      <c r="A403" s="72" t="s">
        <v>483</v>
      </c>
      <c r="B403" s="80"/>
      <c r="F403" s="4"/>
      <c r="G403" s="4"/>
      <c r="H403" s="4"/>
      <c r="I403" s="4"/>
      <c r="J403" s="4"/>
      <c r="K403" s="4"/>
      <c r="L403" s="3"/>
      <c r="M403" s="87" t="s">
        <v>559</v>
      </c>
      <c r="N403" s="3">
        <f>P403+R403+T403+V403</f>
        <v>166.5</v>
      </c>
      <c r="O403" s="3">
        <f t="shared" si="95"/>
        <v>80.2</v>
      </c>
      <c r="P403" s="3"/>
      <c r="Q403" s="3"/>
      <c r="R403" s="3"/>
      <c r="S403" s="3"/>
      <c r="T403" s="3"/>
      <c r="U403" s="3"/>
      <c r="V403" s="3">
        <f>85.4+51.1+30</f>
        <v>166.5</v>
      </c>
      <c r="W403" s="3">
        <v>80.2</v>
      </c>
      <c r="X403" s="3">
        <f>Y403+Z403+AA403+AB403</f>
        <v>326.89999999999986</v>
      </c>
      <c r="Y403" s="3"/>
      <c r="Z403" s="3"/>
      <c r="AA403" s="3"/>
      <c r="AB403" s="3">
        <f>1712.6-1385.7</f>
        <v>326.89999999999986</v>
      </c>
      <c r="AC403" s="3">
        <f>AD403+AE403+AF403+AG403</f>
        <v>2012.6</v>
      </c>
      <c r="AD403" s="3"/>
      <c r="AE403" s="3"/>
      <c r="AF403" s="3"/>
      <c r="AG403" s="3">
        <v>2012.6</v>
      </c>
      <c r="AH403" s="3">
        <f>AI403+AJ403+AL403</f>
        <v>2012.6</v>
      </c>
      <c r="AI403" s="3"/>
      <c r="AJ403" s="3"/>
      <c r="AK403" s="3"/>
      <c r="AL403" s="3">
        <v>2012.6</v>
      </c>
      <c r="AM403" s="3">
        <f>AN403+AO403+AQ403</f>
        <v>2012.6</v>
      </c>
      <c r="AN403" s="3"/>
      <c r="AO403" s="3"/>
      <c r="AP403" s="3"/>
      <c r="AQ403" s="3">
        <v>2012.6</v>
      </c>
    </row>
    <row r="404" spans="1:43" ht="35.450000000000003" customHeight="1" thickBot="1">
      <c r="A404" s="72" t="s">
        <v>483</v>
      </c>
      <c r="B404" s="80"/>
      <c r="C404" s="4"/>
      <c r="D404" s="4"/>
      <c r="E404" s="4"/>
      <c r="F404" s="4"/>
      <c r="G404" s="4"/>
      <c r="H404" s="4"/>
      <c r="I404" s="4"/>
      <c r="J404" s="4"/>
      <c r="K404" s="4"/>
      <c r="L404" s="3"/>
      <c r="M404" s="87" t="s">
        <v>560</v>
      </c>
      <c r="N404" s="3"/>
      <c r="O404" s="3">
        <f t="shared" si="95"/>
        <v>0</v>
      </c>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row>
    <row r="405" spans="1:43" ht="35.450000000000003" customHeight="1" thickBot="1">
      <c r="A405" s="72" t="s">
        <v>483</v>
      </c>
      <c r="B405" s="80"/>
      <c r="C405" s="4"/>
      <c r="D405" s="4"/>
      <c r="E405" s="4"/>
      <c r="F405" s="4"/>
      <c r="G405" s="4"/>
      <c r="H405" s="4"/>
      <c r="I405" s="4"/>
      <c r="J405" s="4"/>
      <c r="K405" s="4"/>
      <c r="L405" s="3"/>
      <c r="M405" s="87" t="s">
        <v>561</v>
      </c>
      <c r="N405" s="3"/>
      <c r="O405" s="3">
        <f t="shared" si="95"/>
        <v>0</v>
      </c>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row>
    <row r="406" spans="1:43" ht="35.450000000000003" customHeight="1" thickBot="1">
      <c r="A406" s="72" t="s">
        <v>483</v>
      </c>
      <c r="B406" s="80"/>
      <c r="C406" s="4"/>
      <c r="D406" s="4"/>
      <c r="E406" s="4"/>
      <c r="F406" s="4"/>
      <c r="G406" s="4"/>
      <c r="H406" s="4"/>
      <c r="I406" s="4"/>
      <c r="J406" s="4"/>
      <c r="K406" s="4"/>
      <c r="L406" s="3"/>
      <c r="M406" s="87" t="s">
        <v>562</v>
      </c>
      <c r="N406" s="3">
        <f>P406+R406+T406+V406</f>
        <v>9.3000000000000007</v>
      </c>
      <c r="O406" s="3">
        <f t="shared" si="95"/>
        <v>9.3000000000000007</v>
      </c>
      <c r="P406" s="3"/>
      <c r="Q406" s="3"/>
      <c r="R406" s="3"/>
      <c r="S406" s="3"/>
      <c r="T406" s="3"/>
      <c r="U406" s="3"/>
      <c r="V406" s="3">
        <f>5+3+1.3-1.3+1.3</f>
        <v>9.3000000000000007</v>
      </c>
      <c r="W406" s="3">
        <v>9.3000000000000007</v>
      </c>
      <c r="X406" s="3">
        <f>Y406+Z406+AA406+AB406</f>
        <v>5</v>
      </c>
      <c r="Y406" s="3"/>
      <c r="Z406" s="3"/>
      <c r="AA406" s="3"/>
      <c r="AB406" s="3">
        <v>5</v>
      </c>
      <c r="AC406" s="3">
        <f>AD406+AE406+AF406+AG406</f>
        <v>5</v>
      </c>
      <c r="AD406" s="3"/>
      <c r="AE406" s="3"/>
      <c r="AF406" s="3"/>
      <c r="AG406" s="3">
        <v>5</v>
      </c>
      <c r="AH406" s="3">
        <f>AI406+AJ406+AL406</f>
        <v>5</v>
      </c>
      <c r="AI406" s="3"/>
      <c r="AJ406" s="3"/>
      <c r="AK406" s="3"/>
      <c r="AL406" s="3">
        <v>5</v>
      </c>
      <c r="AM406" s="3">
        <f>AN406+AO406+AQ406</f>
        <v>5</v>
      </c>
      <c r="AN406" s="3"/>
      <c r="AO406" s="3"/>
      <c r="AP406" s="3"/>
      <c r="AQ406" s="3">
        <v>5</v>
      </c>
    </row>
    <row r="407" spans="1:43" ht="35.450000000000003" customHeight="1" thickBot="1">
      <c r="A407" s="76" t="s">
        <v>563</v>
      </c>
      <c r="B407" s="217">
        <v>2534</v>
      </c>
      <c r="C407" s="78"/>
      <c r="D407" s="5"/>
      <c r="E407" s="5"/>
      <c r="F407" s="5"/>
      <c r="G407" s="5"/>
      <c r="H407" s="5"/>
      <c r="I407" s="5"/>
      <c r="J407" s="5"/>
      <c r="K407" s="5"/>
      <c r="L407" s="5">
        <v>11</v>
      </c>
      <c r="M407" s="244"/>
      <c r="N407" s="126">
        <f>N409+N410+N412+N416+N419+N433+N440+N450+N451+N452+N458+N434+N435+N439+N426+N427+N411</f>
        <v>85630</v>
      </c>
      <c r="O407" s="126">
        <f t="shared" ref="O407:W407" si="97">O409+O410+O412+O416+O419+O433+O440+O450+O451+O452+O458+O434+O435+O439+O426+O427+O411</f>
        <v>84206.9</v>
      </c>
      <c r="P407" s="126">
        <f t="shared" si="97"/>
        <v>0</v>
      </c>
      <c r="Q407" s="126">
        <f t="shared" si="97"/>
        <v>0</v>
      </c>
      <c r="R407" s="126">
        <f t="shared" si="97"/>
        <v>16346.000000000002</v>
      </c>
      <c r="S407" s="126">
        <f t="shared" si="97"/>
        <v>15858.400000000003</v>
      </c>
      <c r="T407" s="126">
        <f t="shared" si="97"/>
        <v>0</v>
      </c>
      <c r="U407" s="126">
        <f t="shared" si="97"/>
        <v>0</v>
      </c>
      <c r="V407" s="126">
        <f t="shared" si="97"/>
        <v>69284</v>
      </c>
      <c r="W407" s="126">
        <f t="shared" si="97"/>
        <v>68348.5</v>
      </c>
      <c r="X407" s="126">
        <f>X408+X412+X413+X414+X415+X417+X418+X421+X423+X424+X426+X427+X428+X430+X432+X442+X443+X444+X445+X447+X448+X449+X454+X455+X456+X457+X450+X409+X416+X419+X433+X431+X437+X438+X453+X461+X451+X452+X440+X410+X458+X459+X425+X420</f>
        <v>104950.3</v>
      </c>
      <c r="Y407" s="126">
        <f>Y408+Y412+Y413+Y414+Y415+Y417+Y418+Y421+Y423+Y424+Y426+Y427+Y428+Y430+Y432+Y442+Y443+Y444+Y445+Y447+Y448+Y449+Y454+Y455+Y456+Y457+Y450+Y409+Y416+Y419+Y433+Y431+Y437+Y438+Y453+Y461+Y451+Y452+Y440+Y410+Y458+Y459+Y425+Y420</f>
        <v>0</v>
      </c>
      <c r="Z407" s="126">
        <f>Z408+Z412+Z413+Z414+Z415+Z417+Z418+Z421+Z423+Z424+Z426+Z427+Z428+Z430+Z432+Z442+Z443+Z444+Z445+Z447+Z448+Z449+Z454+Z455+Z456+Z457+Z450+Z409+Z416+Z419+Z433+Z431+Z437+Z438+Z453+Z461+Z451+Z452+Z440+Z410+Z458+Z459+Z425+Z420</f>
        <v>18202.7</v>
      </c>
      <c r="AA407" s="126">
        <f>AA408+AA412+AA413+AA414+AA415+AA417+AA418+AA421+AA423+AA424+AA426+AA427+AA428+AA430+AA432+AA442+AA443+AA444+AA445+AA447+AA448+AA449+AA454+AA455+AA456+AA457+AA450+AA409+AA416+AA419+AA433+AA431+AA437+AA438+AA453+AA461+AA451+AA452+AA440+AA410+AA458+AA459+AA425+AA420</f>
        <v>0</v>
      </c>
      <c r="AB407" s="126">
        <f>AB408+AB412+AB413+AB414+AB415+AB417+AB418+AB421+AB423+AB424+AB426+AB427+AB428+AB430+AB432+AB442+AB443+AB444+AB445+AB447+AB448+AB449+AB454+AB455+AB456+AB457+AB450+AB409+AB416+AB419+AB433+AB431+AB437+AB438+AB453+AB461+AB451+AB452+AB440+AB410+AB458+AB459+AB425+AB420</f>
        <v>86747.6</v>
      </c>
      <c r="AC407" s="126">
        <f t="shared" ref="AC407:AQ407" si="98">AC408+AC412+AC413+AC414+AC415+AC417+AC418+AC421+AC423+AC424+AC426+AC427+AC428+AC430+AC432+AC442+AC443+AC444+AC445+AC447+AC448+AC449+AC454+AC455+AC456+AC457+AC450+AC409+AC416+AC419+AC433+AC431+AC437+AC438+AC453+AC461+AC451+AC452+AC440+AC410+AC458</f>
        <v>75765.900000000009</v>
      </c>
      <c r="AD407" s="126">
        <f t="shared" si="98"/>
        <v>0</v>
      </c>
      <c r="AE407" s="126">
        <f t="shared" si="98"/>
        <v>3500</v>
      </c>
      <c r="AF407" s="126">
        <f t="shared" si="98"/>
        <v>0</v>
      </c>
      <c r="AG407" s="126">
        <f t="shared" si="98"/>
        <v>72265.900000000009</v>
      </c>
      <c r="AH407" s="126">
        <f t="shared" si="98"/>
        <v>72559.600000000006</v>
      </c>
      <c r="AI407" s="126">
        <f t="shared" si="98"/>
        <v>0</v>
      </c>
      <c r="AJ407" s="126">
        <f t="shared" si="98"/>
        <v>0</v>
      </c>
      <c r="AK407" s="126">
        <f t="shared" si="98"/>
        <v>0</v>
      </c>
      <c r="AL407" s="126">
        <f t="shared" si="98"/>
        <v>72559.600000000006</v>
      </c>
      <c r="AM407" s="126">
        <f t="shared" si="98"/>
        <v>72559.600000000006</v>
      </c>
      <c r="AN407" s="126">
        <f t="shared" si="98"/>
        <v>0</v>
      </c>
      <c r="AO407" s="126">
        <f t="shared" si="98"/>
        <v>0</v>
      </c>
      <c r="AP407" s="126">
        <f t="shared" si="98"/>
        <v>0</v>
      </c>
      <c r="AQ407" s="126">
        <f t="shared" si="98"/>
        <v>72559.600000000006</v>
      </c>
    </row>
    <row r="408" spans="1:43" ht="35.450000000000003" customHeight="1" thickBot="1">
      <c r="A408" s="72" t="s">
        <v>564</v>
      </c>
      <c r="B408" s="80"/>
      <c r="C408" s="64" t="s">
        <v>442</v>
      </c>
      <c r="D408" s="64" t="s">
        <v>1249</v>
      </c>
      <c r="E408" s="64" t="s">
        <v>1250</v>
      </c>
      <c r="F408" s="64" t="s">
        <v>565</v>
      </c>
      <c r="G408" s="64" t="s">
        <v>322</v>
      </c>
      <c r="H408" s="64" t="s">
        <v>410</v>
      </c>
      <c r="I408" s="107" t="s">
        <v>21</v>
      </c>
      <c r="J408" s="107" t="s">
        <v>566</v>
      </c>
      <c r="K408" s="109" t="s">
        <v>23</v>
      </c>
      <c r="L408" s="64"/>
      <c r="M408" s="87" t="s">
        <v>567</v>
      </c>
      <c r="N408" s="3">
        <f t="shared" ref="N408:O424" si="99">P408+R408+T408+V408</f>
        <v>0</v>
      </c>
      <c r="O408" s="3">
        <f>Q408+S408+U408+W408</f>
        <v>0</v>
      </c>
      <c r="P408" s="3"/>
      <c r="Q408" s="3"/>
      <c r="R408" s="3"/>
      <c r="S408" s="3"/>
      <c r="T408" s="3"/>
      <c r="U408" s="3"/>
      <c r="V408" s="3">
        <f>3496.7-3496.7</f>
        <v>0</v>
      </c>
      <c r="W408" s="3"/>
      <c r="X408" s="3">
        <f>Y408+Z408+AA408+AB408</f>
        <v>0</v>
      </c>
      <c r="Y408" s="3"/>
      <c r="Z408" s="3"/>
      <c r="AA408" s="3"/>
      <c r="AB408" s="3">
        <f>3496.7-3496.7</f>
        <v>0</v>
      </c>
      <c r="AC408" s="3">
        <f>AD408+AE408+AF408+AG408</f>
        <v>0</v>
      </c>
      <c r="AD408" s="3"/>
      <c r="AE408" s="3"/>
      <c r="AF408" s="3"/>
      <c r="AG408" s="3">
        <f>3496.7-3496.7</f>
        <v>0</v>
      </c>
      <c r="AH408" s="3">
        <f t="shared" ref="AH408:AH421" si="100">AI408+AJ408+AK408+AL408</f>
        <v>0</v>
      </c>
      <c r="AI408" s="3"/>
      <c r="AJ408" s="3"/>
      <c r="AK408" s="3"/>
      <c r="AL408" s="3">
        <f>3496.7-3496.7</f>
        <v>0</v>
      </c>
      <c r="AM408" s="3">
        <f t="shared" ref="AM408:AM416" si="101">AN408+AO408+AP408+AQ408</f>
        <v>0</v>
      </c>
      <c r="AN408" s="3"/>
      <c r="AO408" s="3"/>
      <c r="AP408" s="3"/>
      <c r="AQ408" s="3">
        <f>3496.7-3496.7</f>
        <v>0</v>
      </c>
    </row>
    <row r="409" spans="1:43" ht="35.450000000000003" customHeight="1" thickBot="1">
      <c r="A409" s="72" t="s">
        <v>564</v>
      </c>
      <c r="B409" s="80"/>
      <c r="C409" s="64"/>
      <c r="D409" s="64"/>
      <c r="E409" s="64"/>
      <c r="F409" s="95" t="s">
        <v>568</v>
      </c>
      <c r="G409" s="139" t="s">
        <v>277</v>
      </c>
      <c r="H409" s="139" t="s">
        <v>390</v>
      </c>
      <c r="I409" s="64" t="s">
        <v>290</v>
      </c>
      <c r="J409" s="64" t="s">
        <v>277</v>
      </c>
      <c r="K409" s="63"/>
      <c r="L409" s="64"/>
      <c r="M409" s="64" t="s">
        <v>569</v>
      </c>
      <c r="N409" s="3">
        <f t="shared" si="99"/>
        <v>10218.4</v>
      </c>
      <c r="O409" s="3">
        <f t="shared" si="99"/>
        <v>10033.200000000001</v>
      </c>
      <c r="P409" s="3"/>
      <c r="Q409" s="3"/>
      <c r="R409" s="3"/>
      <c r="S409" s="3"/>
      <c r="T409" s="3"/>
      <c r="U409" s="3"/>
      <c r="V409" s="3">
        <f>6178+1862.4+150+0.1+120+350+640+35+882.9</f>
        <v>10218.4</v>
      </c>
      <c r="W409" s="3">
        <v>10033.200000000001</v>
      </c>
      <c r="X409" s="3">
        <f>Y409+Z409+AA409+AB409</f>
        <v>9632.2000000000025</v>
      </c>
      <c r="Y409" s="3"/>
      <c r="Z409" s="3"/>
      <c r="AA409" s="3"/>
      <c r="AB409" s="3">
        <f>8045.1+280.5+30.6-1.9+1059.2+35+72.1+183.7-72.1</f>
        <v>9632.2000000000025</v>
      </c>
      <c r="AC409" s="3">
        <f>AD409+AE409+AF409+AG409</f>
        <v>11179.3</v>
      </c>
      <c r="AD409" s="3"/>
      <c r="AE409" s="3"/>
      <c r="AF409" s="3"/>
      <c r="AG409" s="3">
        <v>11179.3</v>
      </c>
      <c r="AH409" s="3">
        <f t="shared" si="100"/>
        <v>11179.3</v>
      </c>
      <c r="AI409" s="3"/>
      <c r="AJ409" s="3"/>
      <c r="AK409" s="3"/>
      <c r="AL409" s="3">
        <v>11179.3</v>
      </c>
      <c r="AM409" s="3">
        <f t="shared" si="101"/>
        <v>11179.3</v>
      </c>
      <c r="AN409" s="3"/>
      <c r="AO409" s="3"/>
      <c r="AP409" s="3"/>
      <c r="AQ409" s="3">
        <v>11179.3</v>
      </c>
    </row>
    <row r="410" spans="1:43" ht="35.450000000000003" customHeight="1" thickBot="1">
      <c r="A410" s="72" t="s">
        <v>564</v>
      </c>
      <c r="B410" s="80"/>
      <c r="C410" s="64"/>
      <c r="D410" s="64"/>
      <c r="E410" s="64"/>
      <c r="F410" s="64" t="s">
        <v>570</v>
      </c>
      <c r="G410" s="64" t="s">
        <v>277</v>
      </c>
      <c r="H410" s="64"/>
      <c r="I410" s="84" t="s">
        <v>290</v>
      </c>
      <c r="J410" s="64" t="s">
        <v>277</v>
      </c>
      <c r="K410" s="245"/>
      <c r="L410" s="64"/>
      <c r="M410" s="64" t="s">
        <v>571</v>
      </c>
      <c r="N410" s="3">
        <f t="shared" si="99"/>
        <v>1127.7</v>
      </c>
      <c r="O410" s="3">
        <f t="shared" si="99"/>
        <v>1127.7</v>
      </c>
      <c r="P410" s="3"/>
      <c r="Q410" s="3"/>
      <c r="R410" s="3"/>
      <c r="S410" s="3"/>
      <c r="T410" s="3"/>
      <c r="U410" s="3"/>
      <c r="V410" s="3">
        <f>534.8-4+567.6+29.3</f>
        <v>1127.7</v>
      </c>
      <c r="W410" s="3">
        <v>1127.7</v>
      </c>
      <c r="X410" s="3">
        <f>Y410+Z410+AA410+AB410</f>
        <v>1525.2</v>
      </c>
      <c r="Y410" s="3"/>
      <c r="Z410" s="3"/>
      <c r="AA410" s="3"/>
      <c r="AB410" s="3">
        <f>111+354.3+169+700.1+150+40.8</f>
        <v>1525.2</v>
      </c>
      <c r="AC410" s="3">
        <f>AD410+AE410+AF410+AG410</f>
        <v>0</v>
      </c>
      <c r="AD410" s="3"/>
      <c r="AE410" s="3"/>
      <c r="AF410" s="3"/>
      <c r="AG410" s="3">
        <v>0</v>
      </c>
      <c r="AH410" s="3">
        <f t="shared" si="100"/>
        <v>293.7</v>
      </c>
      <c r="AI410" s="3"/>
      <c r="AJ410" s="3"/>
      <c r="AK410" s="3"/>
      <c r="AL410" s="3">
        <v>293.7</v>
      </c>
      <c r="AM410" s="3">
        <f t="shared" si="101"/>
        <v>293.7</v>
      </c>
      <c r="AN410" s="3"/>
      <c r="AO410" s="3"/>
      <c r="AP410" s="3"/>
      <c r="AQ410" s="3">
        <v>293.7</v>
      </c>
    </row>
    <row r="411" spans="1:43" ht="35.450000000000003" customHeight="1" thickBot="1">
      <c r="A411" s="72" t="s">
        <v>564</v>
      </c>
      <c r="B411" s="80"/>
      <c r="C411" s="64"/>
      <c r="D411" s="64"/>
      <c r="E411" s="64"/>
      <c r="F411" s="64" t="s">
        <v>572</v>
      </c>
      <c r="G411" s="64" t="s">
        <v>277</v>
      </c>
      <c r="I411" s="246" t="s">
        <v>1255</v>
      </c>
      <c r="J411" s="64" t="s">
        <v>277</v>
      </c>
      <c r="K411" s="246" t="s">
        <v>1267</v>
      </c>
      <c r="L411" s="64"/>
      <c r="M411" s="64" t="s">
        <v>573</v>
      </c>
      <c r="N411" s="3">
        <f t="shared" si="99"/>
        <v>21000</v>
      </c>
      <c r="O411" s="3">
        <f t="shared" si="99"/>
        <v>20999.3</v>
      </c>
      <c r="P411" s="3"/>
      <c r="Q411" s="3"/>
      <c r="R411" s="3"/>
      <c r="S411" s="3"/>
      <c r="T411" s="3"/>
      <c r="U411" s="3"/>
      <c r="V411" s="3">
        <v>21000</v>
      </c>
      <c r="W411" s="3">
        <v>20999.3</v>
      </c>
      <c r="X411" s="3"/>
      <c r="Y411" s="3"/>
      <c r="Z411" s="3"/>
      <c r="AA411" s="3"/>
      <c r="AB411" s="3"/>
      <c r="AC411" s="3"/>
      <c r="AD411" s="3"/>
      <c r="AE411" s="3"/>
      <c r="AF411" s="3"/>
      <c r="AG411" s="3"/>
      <c r="AH411" s="3"/>
      <c r="AI411" s="3"/>
      <c r="AJ411" s="3"/>
      <c r="AK411" s="3"/>
      <c r="AL411" s="3"/>
      <c r="AM411" s="3"/>
      <c r="AN411" s="3"/>
      <c r="AO411" s="3"/>
      <c r="AP411" s="3"/>
      <c r="AQ411" s="3"/>
    </row>
    <row r="412" spans="1:43" ht="35.450000000000003" customHeight="1" thickBot="1">
      <c r="A412" s="72" t="s">
        <v>564</v>
      </c>
      <c r="B412" s="80"/>
      <c r="C412" s="64"/>
      <c r="D412" s="64"/>
      <c r="E412" s="64"/>
      <c r="F412" s="64"/>
      <c r="G412" s="64"/>
      <c r="H412" s="64"/>
      <c r="I412" s="64" t="s">
        <v>1268</v>
      </c>
      <c r="J412" s="64" t="s">
        <v>277</v>
      </c>
      <c r="K412" s="63"/>
      <c r="L412" s="64"/>
      <c r="M412" s="87" t="s">
        <v>574</v>
      </c>
      <c r="N412" s="3">
        <f t="shared" si="99"/>
        <v>770.6</v>
      </c>
      <c r="O412" s="3">
        <f t="shared" si="99"/>
        <v>737.5</v>
      </c>
      <c r="P412" s="3"/>
      <c r="Q412" s="3"/>
      <c r="R412" s="3">
        <v>65.8</v>
      </c>
      <c r="S412" s="3">
        <v>65.8</v>
      </c>
      <c r="T412" s="3"/>
      <c r="U412" s="3"/>
      <c r="V412" s="3">
        <f>646+85.5+29.4+9.7-65.8</f>
        <v>704.80000000000007</v>
      </c>
      <c r="W412" s="3">
        <f>737.5-65.8</f>
        <v>671.7</v>
      </c>
      <c r="X412" s="3">
        <f>Y412+Z412+AA412+AB412</f>
        <v>839.7</v>
      </c>
      <c r="Y412" s="3"/>
      <c r="Z412" s="3"/>
      <c r="AA412" s="3"/>
      <c r="AB412" s="3">
        <f>779.7+60</f>
        <v>839.7</v>
      </c>
      <c r="AC412" s="3">
        <f>AD412+AE412+AF412+AG412</f>
        <v>779.7</v>
      </c>
      <c r="AD412" s="3"/>
      <c r="AE412" s="3"/>
      <c r="AF412" s="3"/>
      <c r="AG412" s="3">
        <v>779.7</v>
      </c>
      <c r="AH412" s="3">
        <f t="shared" si="100"/>
        <v>779.7</v>
      </c>
      <c r="AI412" s="3"/>
      <c r="AJ412" s="3"/>
      <c r="AK412" s="3"/>
      <c r="AL412" s="3">
        <v>779.7</v>
      </c>
      <c r="AM412" s="3">
        <f t="shared" si="101"/>
        <v>779.7</v>
      </c>
      <c r="AN412" s="3"/>
      <c r="AO412" s="3"/>
      <c r="AP412" s="3"/>
      <c r="AQ412" s="3">
        <v>779.7</v>
      </c>
    </row>
    <row r="413" spans="1:43" ht="35.450000000000003" customHeight="1" thickBot="1">
      <c r="A413" s="72" t="s">
        <v>564</v>
      </c>
      <c r="B413" s="80"/>
      <c r="C413" s="64"/>
      <c r="D413" s="64"/>
      <c r="E413" s="64"/>
      <c r="F413" s="139"/>
      <c r="G413" s="64"/>
      <c r="H413" s="64"/>
      <c r="I413" s="139"/>
      <c r="J413" s="139"/>
      <c r="K413" s="63"/>
      <c r="L413" s="64"/>
      <c r="M413" s="87" t="s">
        <v>575</v>
      </c>
      <c r="N413" s="3">
        <f t="shared" si="99"/>
        <v>0</v>
      </c>
      <c r="O413" s="3">
        <f t="shared" si="99"/>
        <v>0</v>
      </c>
      <c r="P413" s="3"/>
      <c r="Q413" s="3"/>
      <c r="R413" s="3"/>
      <c r="S413" s="3"/>
      <c r="T413" s="3"/>
      <c r="U413" s="3"/>
      <c r="V413" s="3"/>
      <c r="W413" s="3"/>
      <c r="X413" s="3">
        <f>Y413+Z413+AA413+AB413</f>
        <v>0</v>
      </c>
      <c r="Y413" s="3"/>
      <c r="Z413" s="3"/>
      <c r="AA413" s="3"/>
      <c r="AB413" s="3"/>
      <c r="AC413" s="3">
        <f>AD413+AE413+AF413+AG413</f>
        <v>0</v>
      </c>
      <c r="AD413" s="3"/>
      <c r="AE413" s="3"/>
      <c r="AF413" s="3"/>
      <c r="AG413" s="3"/>
      <c r="AH413" s="3">
        <f t="shared" si="100"/>
        <v>0</v>
      </c>
      <c r="AI413" s="3"/>
      <c r="AJ413" s="3"/>
      <c r="AK413" s="3"/>
      <c r="AL413" s="3"/>
      <c r="AM413" s="3">
        <f t="shared" si="101"/>
        <v>0</v>
      </c>
      <c r="AN413" s="3"/>
      <c r="AO413" s="3"/>
      <c r="AP413" s="3"/>
      <c r="AQ413" s="3"/>
    </row>
    <row r="414" spans="1:43" ht="35.450000000000003" customHeight="1" thickBot="1">
      <c r="A414" s="72" t="s">
        <v>564</v>
      </c>
      <c r="B414" s="80"/>
      <c r="C414" s="64"/>
      <c r="D414" s="64"/>
      <c r="E414" s="64"/>
      <c r="F414" s="64"/>
      <c r="G414" s="64"/>
      <c r="H414" s="64"/>
      <c r="I414" s="64"/>
      <c r="J414" s="64"/>
      <c r="K414" s="63"/>
      <c r="L414" s="64"/>
      <c r="M414" s="87" t="s">
        <v>576</v>
      </c>
      <c r="N414" s="3">
        <f t="shared" si="99"/>
        <v>0</v>
      </c>
      <c r="O414" s="3">
        <f t="shared" si="99"/>
        <v>0</v>
      </c>
      <c r="P414" s="3"/>
      <c r="Q414" s="3"/>
      <c r="R414" s="3"/>
      <c r="S414" s="3"/>
      <c r="T414" s="3"/>
      <c r="U414" s="3"/>
      <c r="V414" s="3">
        <v>0</v>
      </c>
      <c r="W414" s="3"/>
      <c r="X414" s="3">
        <f>Y414+Z414+AA414+AB414</f>
        <v>0</v>
      </c>
      <c r="Y414" s="3"/>
      <c r="Z414" s="3"/>
      <c r="AA414" s="3"/>
      <c r="AB414" s="3">
        <v>0</v>
      </c>
      <c r="AC414" s="3">
        <f>AD414+AE414+AF414+AG414</f>
        <v>0</v>
      </c>
      <c r="AD414" s="3"/>
      <c r="AE414" s="3"/>
      <c r="AF414" s="3"/>
      <c r="AG414" s="3">
        <v>0</v>
      </c>
      <c r="AH414" s="3">
        <f t="shared" si="100"/>
        <v>0</v>
      </c>
      <c r="AI414" s="3"/>
      <c r="AJ414" s="3"/>
      <c r="AK414" s="3"/>
      <c r="AL414" s="3">
        <v>0</v>
      </c>
      <c r="AM414" s="3">
        <f t="shared" si="101"/>
        <v>0</v>
      </c>
      <c r="AN414" s="3"/>
      <c r="AO414" s="3"/>
      <c r="AP414" s="3"/>
      <c r="AQ414" s="3">
        <v>0</v>
      </c>
    </row>
    <row r="415" spans="1:43" ht="35.450000000000003" customHeight="1" thickBot="1">
      <c r="A415" s="72" t="s">
        <v>564</v>
      </c>
      <c r="B415" s="80"/>
      <c r="C415" s="64"/>
      <c r="D415" s="64"/>
      <c r="E415" s="64"/>
      <c r="F415" s="64"/>
      <c r="G415" s="64"/>
      <c r="H415" s="64"/>
      <c r="I415" s="64"/>
      <c r="J415" s="64"/>
      <c r="K415" s="63"/>
      <c r="L415" s="64"/>
      <c r="M415" s="87" t="s">
        <v>577</v>
      </c>
      <c r="N415" s="3">
        <f t="shared" si="99"/>
        <v>0</v>
      </c>
      <c r="O415" s="3">
        <f t="shared" si="99"/>
        <v>0</v>
      </c>
      <c r="P415" s="3"/>
      <c r="Q415" s="3"/>
      <c r="R415" s="3"/>
      <c r="S415" s="3"/>
      <c r="T415" s="3"/>
      <c r="U415" s="3"/>
      <c r="V415" s="3"/>
      <c r="W415" s="3"/>
      <c r="X415" s="3">
        <f>Y415+Z415+AA415+AB415</f>
        <v>0</v>
      </c>
      <c r="Y415" s="3"/>
      <c r="Z415" s="3"/>
      <c r="AA415" s="3"/>
      <c r="AB415" s="3"/>
      <c r="AC415" s="3">
        <f>AD415+AE415+AF415+AG415</f>
        <v>0</v>
      </c>
      <c r="AD415" s="3"/>
      <c r="AE415" s="3"/>
      <c r="AF415" s="3"/>
      <c r="AG415" s="3"/>
      <c r="AH415" s="3">
        <f t="shared" si="100"/>
        <v>0</v>
      </c>
      <c r="AI415" s="3"/>
      <c r="AJ415" s="3"/>
      <c r="AK415" s="3"/>
      <c r="AL415" s="3"/>
      <c r="AM415" s="3">
        <f t="shared" si="101"/>
        <v>0</v>
      </c>
      <c r="AN415" s="3"/>
      <c r="AO415" s="3"/>
      <c r="AP415" s="3"/>
      <c r="AQ415" s="3"/>
    </row>
    <row r="416" spans="1:43" ht="35.450000000000003" customHeight="1" thickBot="1">
      <c r="A416" s="72" t="s">
        <v>564</v>
      </c>
      <c r="B416" s="80"/>
      <c r="C416" s="64"/>
      <c r="D416" s="64"/>
      <c r="E416" s="64"/>
      <c r="F416" s="4"/>
      <c r="G416" s="64"/>
      <c r="H416" s="64"/>
      <c r="I416" s="64"/>
      <c r="J416" s="64"/>
      <c r="K416" s="63"/>
      <c r="L416" s="64"/>
      <c r="M416" s="87" t="s">
        <v>578</v>
      </c>
      <c r="N416" s="3">
        <f t="shared" si="99"/>
        <v>696.3000000000003</v>
      </c>
      <c r="O416" s="3">
        <f t="shared" si="99"/>
        <v>489.6</v>
      </c>
      <c r="P416" s="3"/>
      <c r="Q416" s="3"/>
      <c r="R416" s="3"/>
      <c r="S416" s="3"/>
      <c r="T416" s="3"/>
      <c r="U416" s="3"/>
      <c r="V416" s="3">
        <f>2284+517.8-1862.5-250+452.4-445.4</f>
        <v>696.3000000000003</v>
      </c>
      <c r="W416" s="3">
        <v>489.6</v>
      </c>
      <c r="X416" s="3">
        <f>Y416+Z416+AA416+AB416</f>
        <v>3306.1000000000008</v>
      </c>
      <c r="Y416" s="3"/>
      <c r="Z416" s="3"/>
      <c r="AA416" s="3"/>
      <c r="AB416" s="3">
        <f>5785.1-1059.2-0.2-1419.6</f>
        <v>3306.1000000000008</v>
      </c>
      <c r="AC416" s="3">
        <f>AD416+AE416+AF416+AG416</f>
        <v>5785.1</v>
      </c>
      <c r="AD416" s="3"/>
      <c r="AE416" s="3"/>
      <c r="AF416" s="3"/>
      <c r="AG416" s="3">
        <v>5785.1</v>
      </c>
      <c r="AH416" s="3">
        <f t="shared" si="100"/>
        <v>5785.1</v>
      </c>
      <c r="AI416" s="3"/>
      <c r="AJ416" s="3"/>
      <c r="AK416" s="3"/>
      <c r="AL416" s="3">
        <v>5785.1</v>
      </c>
      <c r="AM416" s="3">
        <f t="shared" si="101"/>
        <v>5785.1</v>
      </c>
      <c r="AN416" s="3"/>
      <c r="AO416" s="3"/>
      <c r="AP416" s="3"/>
      <c r="AQ416" s="3">
        <v>5785.1</v>
      </c>
    </row>
    <row r="417" spans="1:43" ht="35.450000000000003" customHeight="1" thickBot="1">
      <c r="A417" s="72" t="s">
        <v>564</v>
      </c>
      <c r="B417" s="80"/>
      <c r="F417" s="64"/>
      <c r="G417" s="64"/>
      <c r="H417" s="64"/>
      <c r="I417" s="64"/>
      <c r="J417" s="64"/>
      <c r="K417" s="63"/>
      <c r="L417" s="64"/>
      <c r="M417" s="87" t="s">
        <v>579</v>
      </c>
      <c r="N417" s="3"/>
      <c r="O417" s="3">
        <f t="shared" si="99"/>
        <v>0</v>
      </c>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row>
    <row r="418" spans="1:43" ht="35.450000000000003" customHeight="1" thickBot="1">
      <c r="A418" s="72" t="s">
        <v>580</v>
      </c>
      <c r="B418" s="80"/>
      <c r="C418" s="64"/>
      <c r="D418" s="64"/>
      <c r="E418" s="64"/>
      <c r="F418" s="64"/>
      <c r="G418" s="64"/>
      <c r="H418" s="64"/>
      <c r="I418" s="64"/>
      <c r="J418" s="64"/>
      <c r="K418" s="63"/>
      <c r="L418" s="64"/>
      <c r="M418" s="87" t="s">
        <v>581</v>
      </c>
      <c r="N418" s="3">
        <f t="shared" ref="N418:O434" si="102">P418+R418+T418+V418</f>
        <v>0</v>
      </c>
      <c r="O418" s="3">
        <f t="shared" si="99"/>
        <v>0</v>
      </c>
      <c r="P418" s="3"/>
      <c r="Q418" s="3"/>
      <c r="R418" s="3"/>
      <c r="S418" s="3"/>
      <c r="T418" s="3"/>
      <c r="U418" s="3"/>
      <c r="V418" s="3">
        <f>19344.4-19344.4</f>
        <v>0</v>
      </c>
      <c r="W418" s="3"/>
      <c r="X418" s="3">
        <f>Y418+Z418+AA418+AB418</f>
        <v>0</v>
      </c>
      <c r="Y418" s="3"/>
      <c r="Z418" s="3"/>
      <c r="AA418" s="3"/>
      <c r="AB418" s="3">
        <f>19344.4-19344.4</f>
        <v>0</v>
      </c>
      <c r="AC418" s="3">
        <f>AD418+AE418+AF418+AG418</f>
        <v>0</v>
      </c>
      <c r="AD418" s="3"/>
      <c r="AE418" s="3"/>
      <c r="AF418" s="3"/>
      <c r="AG418" s="3">
        <f>19344.4-19344.4</f>
        <v>0</v>
      </c>
      <c r="AH418" s="3">
        <f t="shared" si="100"/>
        <v>0</v>
      </c>
      <c r="AI418" s="3"/>
      <c r="AJ418" s="3"/>
      <c r="AK418" s="3"/>
      <c r="AL418" s="3">
        <f>19344.4-19344.4</f>
        <v>0</v>
      </c>
      <c r="AM418" s="3">
        <f>AN418+AO418+AP418+AQ418</f>
        <v>0</v>
      </c>
      <c r="AN418" s="3"/>
      <c r="AO418" s="3"/>
      <c r="AP418" s="3"/>
      <c r="AQ418" s="3">
        <f>19344.4-19344.4</f>
        <v>0</v>
      </c>
    </row>
    <row r="419" spans="1:43" ht="35.450000000000003" customHeight="1" thickBot="1">
      <c r="A419" s="72" t="s">
        <v>564</v>
      </c>
      <c r="B419" s="80"/>
      <c r="C419" s="64"/>
      <c r="D419" s="64"/>
      <c r="E419" s="64"/>
      <c r="F419" s="4"/>
      <c r="G419" s="64"/>
      <c r="H419" s="64"/>
      <c r="I419" s="64"/>
      <c r="J419" s="64"/>
      <c r="K419" s="63"/>
      <c r="L419" s="64"/>
      <c r="M419" s="87" t="s">
        <v>582</v>
      </c>
      <c r="N419" s="3">
        <f t="shared" si="102"/>
        <v>23344.099999999995</v>
      </c>
      <c r="O419" s="3">
        <f t="shared" si="99"/>
        <v>22917.8</v>
      </c>
      <c r="P419" s="3"/>
      <c r="Q419" s="3"/>
      <c r="R419" s="3">
        <v>2740</v>
      </c>
      <c r="S419" s="3">
        <v>2740</v>
      </c>
      <c r="T419" s="3"/>
      <c r="U419" s="3"/>
      <c r="V419" s="3">
        <f>17302+2474.1+958.8+20+0.1+2797.3+591.8-800-2740</f>
        <v>20604.099999999995</v>
      </c>
      <c r="W419" s="3">
        <f>22917.8-2740</f>
        <v>20177.8</v>
      </c>
      <c r="X419" s="3">
        <f>Y419+Z419+AA419+AB419</f>
        <v>39739.4</v>
      </c>
      <c r="Y419" s="3"/>
      <c r="Z419" s="3"/>
      <c r="AA419" s="3"/>
      <c r="AB419" s="3">
        <f>34090.6+4536.5-872.1+680.4+1664-360</f>
        <v>39739.4</v>
      </c>
      <c r="AC419" s="3">
        <f>AD419+AE419+AF419+AG419</f>
        <v>34090.6</v>
      </c>
      <c r="AD419" s="3"/>
      <c r="AE419" s="3"/>
      <c r="AF419" s="3"/>
      <c r="AG419" s="3">
        <v>34090.6</v>
      </c>
      <c r="AH419" s="3">
        <f t="shared" si="100"/>
        <v>34090.6</v>
      </c>
      <c r="AI419" s="3"/>
      <c r="AJ419" s="3"/>
      <c r="AK419" s="3"/>
      <c r="AL419" s="3">
        <v>34090.6</v>
      </c>
      <c r="AM419" s="3">
        <f>AN419+AO419+AP419+AQ419</f>
        <v>34090.6</v>
      </c>
      <c r="AN419" s="3"/>
      <c r="AO419" s="3"/>
      <c r="AP419" s="3"/>
      <c r="AQ419" s="3">
        <v>34090.6</v>
      </c>
    </row>
    <row r="420" spans="1:43" ht="35.450000000000003" customHeight="1" thickBot="1">
      <c r="A420" s="72" t="s">
        <v>564</v>
      </c>
      <c r="B420" s="80"/>
      <c r="C420" s="64"/>
      <c r="D420" s="64"/>
      <c r="E420" s="64"/>
      <c r="F420" s="4"/>
      <c r="G420" s="64"/>
      <c r="H420" s="64"/>
      <c r="I420" s="64"/>
      <c r="J420" s="64"/>
      <c r="K420" s="63"/>
      <c r="L420" s="64"/>
      <c r="M420" s="87" t="s">
        <v>583</v>
      </c>
      <c r="N420" s="3"/>
      <c r="O420" s="3"/>
      <c r="P420" s="3"/>
      <c r="Q420" s="3"/>
      <c r="R420" s="3"/>
      <c r="S420" s="3"/>
      <c r="T420" s="3"/>
      <c r="U420" s="3"/>
      <c r="V420" s="3"/>
      <c r="W420" s="3"/>
      <c r="X420" s="3">
        <f>Y420+Z420+AA420+AB420</f>
        <v>500</v>
      </c>
      <c r="Y420" s="3"/>
      <c r="Z420" s="3"/>
      <c r="AA420" s="3"/>
      <c r="AB420" s="3">
        <v>500</v>
      </c>
      <c r="AC420" s="3"/>
      <c r="AD420" s="3"/>
      <c r="AE420" s="3"/>
      <c r="AF420" s="3"/>
      <c r="AG420" s="3"/>
      <c r="AH420" s="3"/>
      <c r="AI420" s="3"/>
      <c r="AJ420" s="3"/>
      <c r="AK420" s="3"/>
      <c r="AL420" s="3"/>
      <c r="AM420" s="3"/>
      <c r="AN420" s="3"/>
      <c r="AO420" s="3"/>
      <c r="AP420" s="3"/>
      <c r="AQ420" s="3"/>
    </row>
    <row r="421" spans="1:43" ht="35.450000000000003" customHeight="1" thickBot="1">
      <c r="A421" s="72" t="s">
        <v>564</v>
      </c>
      <c r="B421" s="80"/>
      <c r="C421" s="64"/>
      <c r="D421" s="64"/>
      <c r="E421" s="64"/>
      <c r="F421" s="64"/>
      <c r="G421" s="64"/>
      <c r="H421" s="64"/>
      <c r="K421" s="63"/>
      <c r="L421" s="64"/>
      <c r="M421" s="87" t="s">
        <v>584</v>
      </c>
      <c r="N421" s="3">
        <f t="shared" si="102"/>
        <v>0</v>
      </c>
      <c r="O421" s="3">
        <f t="shared" si="99"/>
        <v>0</v>
      </c>
      <c r="P421" s="3"/>
      <c r="Q421" s="3"/>
      <c r="R421" s="3"/>
      <c r="S421" s="3"/>
      <c r="T421" s="3"/>
      <c r="U421" s="3"/>
      <c r="V421" s="3"/>
      <c r="W421" s="3"/>
      <c r="X421" s="3">
        <f>Y421+Z421+AA421+AB421</f>
        <v>0</v>
      </c>
      <c r="Y421" s="3"/>
      <c r="Z421" s="3"/>
      <c r="AA421" s="3"/>
      <c r="AB421" s="3"/>
      <c r="AC421" s="3">
        <f>AD421+AE421+AF421+AG421</f>
        <v>0</v>
      </c>
      <c r="AD421" s="3"/>
      <c r="AE421" s="3"/>
      <c r="AF421" s="3"/>
      <c r="AG421" s="3"/>
      <c r="AH421" s="3">
        <f t="shared" si="100"/>
        <v>0</v>
      </c>
      <c r="AI421" s="3"/>
      <c r="AJ421" s="3"/>
      <c r="AK421" s="3"/>
      <c r="AL421" s="3"/>
      <c r="AM421" s="3">
        <f>AN421+AO421+AP421+AQ421</f>
        <v>0</v>
      </c>
      <c r="AN421" s="3"/>
      <c r="AO421" s="3"/>
      <c r="AP421" s="3"/>
      <c r="AQ421" s="3"/>
    </row>
    <row r="422" spans="1:43" ht="35.450000000000003" customHeight="1" thickBot="1">
      <c r="A422" s="72" t="s">
        <v>564</v>
      </c>
      <c r="B422" s="80"/>
      <c r="C422" s="64"/>
      <c r="D422" s="64"/>
      <c r="E422" s="64"/>
      <c r="F422" s="64"/>
      <c r="G422" s="64"/>
      <c r="H422" s="64"/>
      <c r="I422" s="64"/>
      <c r="J422" s="64"/>
      <c r="K422" s="63"/>
      <c r="L422" s="64"/>
      <c r="M422" s="87" t="s">
        <v>585</v>
      </c>
      <c r="N422" s="3">
        <f t="shared" si="102"/>
        <v>0</v>
      </c>
      <c r="O422" s="3">
        <f t="shared" si="99"/>
        <v>0</v>
      </c>
      <c r="P422" s="3"/>
      <c r="Q422" s="3"/>
      <c r="R422" s="3"/>
      <c r="S422" s="3"/>
      <c r="T422" s="3"/>
      <c r="U422" s="3"/>
      <c r="V422" s="3"/>
      <c r="W422" s="3"/>
      <c r="X422" s="3">
        <f t="shared" ref="X422:X427" si="103">Y422+Z422+AA422+AB422</f>
        <v>0</v>
      </c>
      <c r="Y422" s="3"/>
      <c r="Z422" s="3"/>
      <c r="AA422" s="3"/>
      <c r="AB422" s="3"/>
      <c r="AC422" s="3"/>
      <c r="AD422" s="3"/>
      <c r="AE422" s="3"/>
      <c r="AF422" s="3"/>
      <c r="AG422" s="3"/>
      <c r="AH422" s="3"/>
      <c r="AI422" s="3"/>
      <c r="AJ422" s="3"/>
      <c r="AK422" s="3"/>
      <c r="AL422" s="3"/>
      <c r="AM422" s="3"/>
      <c r="AN422" s="3"/>
      <c r="AO422" s="3"/>
      <c r="AP422" s="3"/>
      <c r="AQ422" s="3"/>
    </row>
    <row r="423" spans="1:43" ht="35.450000000000003" customHeight="1" thickBot="1">
      <c r="A423" s="72" t="s">
        <v>564</v>
      </c>
      <c r="B423" s="80"/>
      <c r="C423" s="64"/>
      <c r="D423" s="64"/>
      <c r="E423" s="64"/>
      <c r="F423" s="64"/>
      <c r="G423" s="64"/>
      <c r="H423" s="64"/>
      <c r="I423" s="64"/>
      <c r="J423" s="64"/>
      <c r="K423" s="63"/>
      <c r="L423" s="64"/>
      <c r="M423" s="87" t="s">
        <v>586</v>
      </c>
      <c r="N423" s="3">
        <f t="shared" si="102"/>
        <v>0</v>
      </c>
      <c r="O423" s="3">
        <f t="shared" si="99"/>
        <v>0</v>
      </c>
      <c r="P423" s="3"/>
      <c r="Q423" s="3"/>
      <c r="R423" s="3"/>
      <c r="S423" s="3"/>
      <c r="T423" s="3"/>
      <c r="U423" s="3"/>
      <c r="V423" s="3"/>
      <c r="W423" s="3"/>
      <c r="X423" s="3">
        <f t="shared" si="103"/>
        <v>0</v>
      </c>
      <c r="Y423" s="3"/>
      <c r="Z423" s="3"/>
      <c r="AA423" s="3"/>
      <c r="AB423" s="3"/>
      <c r="AC423" s="3"/>
      <c r="AD423" s="3"/>
      <c r="AE423" s="3"/>
      <c r="AF423" s="3"/>
      <c r="AG423" s="3"/>
      <c r="AH423" s="3"/>
      <c r="AI423" s="3"/>
      <c r="AJ423" s="3"/>
      <c r="AK423" s="3"/>
      <c r="AL423" s="3"/>
      <c r="AM423" s="3"/>
      <c r="AN423" s="3"/>
      <c r="AO423" s="3"/>
      <c r="AP423" s="3"/>
      <c r="AQ423" s="3"/>
    </row>
    <row r="424" spans="1:43" ht="35.450000000000003" customHeight="1" thickBot="1">
      <c r="A424" s="72" t="s">
        <v>564</v>
      </c>
      <c r="B424" s="80"/>
      <c r="C424" s="64"/>
      <c r="D424" s="64"/>
      <c r="E424" s="64"/>
      <c r="F424" s="64" t="s">
        <v>1262</v>
      </c>
      <c r="G424" s="64" t="s">
        <v>277</v>
      </c>
      <c r="H424" s="247">
        <v>45742</v>
      </c>
      <c r="I424" s="64"/>
      <c r="J424" s="64"/>
      <c r="K424" s="63"/>
      <c r="L424" s="64"/>
      <c r="M424" s="87" t="s">
        <v>587</v>
      </c>
      <c r="N424" s="3">
        <f t="shared" si="102"/>
        <v>0</v>
      </c>
      <c r="O424" s="3">
        <f t="shared" si="99"/>
        <v>0</v>
      </c>
      <c r="P424" s="3"/>
      <c r="Q424" s="3"/>
      <c r="R424" s="3"/>
      <c r="S424" s="3"/>
      <c r="T424" s="3"/>
      <c r="U424" s="3"/>
      <c r="V424" s="3"/>
      <c r="W424" s="3"/>
      <c r="X424" s="3">
        <f t="shared" si="103"/>
        <v>0</v>
      </c>
      <c r="Y424" s="3"/>
      <c r="Z424" s="3"/>
      <c r="AA424" s="3"/>
      <c r="AB424" s="3"/>
      <c r="AC424" s="3"/>
      <c r="AD424" s="3"/>
      <c r="AE424" s="3"/>
      <c r="AF424" s="3"/>
      <c r="AG424" s="3"/>
      <c r="AH424" s="3"/>
      <c r="AI424" s="3"/>
      <c r="AJ424" s="3"/>
      <c r="AK424" s="3"/>
      <c r="AL424" s="3"/>
      <c r="AM424" s="3"/>
      <c r="AN424" s="3"/>
      <c r="AO424" s="3"/>
      <c r="AP424" s="3"/>
      <c r="AQ424" s="3"/>
    </row>
    <row r="425" spans="1:43" ht="35.450000000000003" customHeight="1" thickBot="1">
      <c r="A425" s="72" t="s">
        <v>564</v>
      </c>
      <c r="B425" s="80"/>
      <c r="C425" s="64"/>
      <c r="D425" s="64"/>
      <c r="E425" s="64"/>
      <c r="F425" s="64" t="s">
        <v>1263</v>
      </c>
      <c r="G425" s="64" t="s">
        <v>277</v>
      </c>
      <c r="H425" s="247">
        <v>45776</v>
      </c>
      <c r="I425" s="64"/>
      <c r="J425" s="64"/>
      <c r="K425" s="63"/>
      <c r="L425" s="64"/>
      <c r="M425" s="87" t="s">
        <v>588</v>
      </c>
      <c r="N425" s="3">
        <f t="shared" si="102"/>
        <v>0</v>
      </c>
      <c r="O425" s="3">
        <f t="shared" si="102"/>
        <v>0</v>
      </c>
      <c r="P425" s="3"/>
      <c r="Q425" s="3"/>
      <c r="R425" s="3"/>
      <c r="S425" s="3"/>
      <c r="T425" s="3"/>
      <c r="U425" s="3"/>
      <c r="V425" s="3"/>
      <c r="W425" s="3"/>
      <c r="X425" s="3">
        <f t="shared" si="103"/>
        <v>18919.5</v>
      </c>
      <c r="Y425" s="3"/>
      <c r="Z425" s="3">
        <v>10000</v>
      </c>
      <c r="AA425" s="3"/>
      <c r="AB425" s="3">
        <v>8919.5</v>
      </c>
      <c r="AC425" s="3"/>
      <c r="AD425" s="3"/>
      <c r="AE425" s="3"/>
      <c r="AF425" s="3"/>
      <c r="AG425" s="3"/>
      <c r="AH425" s="3"/>
      <c r="AI425" s="3"/>
      <c r="AJ425" s="3"/>
      <c r="AK425" s="3"/>
      <c r="AL425" s="3"/>
      <c r="AM425" s="3"/>
      <c r="AN425" s="3"/>
      <c r="AO425" s="3"/>
      <c r="AP425" s="3"/>
      <c r="AQ425" s="3"/>
    </row>
    <row r="426" spans="1:43" ht="35.450000000000003" customHeight="1" thickBot="1">
      <c r="A426" s="72" t="s">
        <v>564</v>
      </c>
      <c r="B426" s="80"/>
      <c r="F426" s="64" t="s">
        <v>1264</v>
      </c>
      <c r="G426" s="64" t="s">
        <v>277</v>
      </c>
      <c r="H426" s="223" t="s">
        <v>1265</v>
      </c>
      <c r="I426" s="210"/>
      <c r="J426" s="64"/>
      <c r="K426" s="210"/>
      <c r="L426" s="64"/>
      <c r="M426" s="87" t="s">
        <v>589</v>
      </c>
      <c r="N426" s="3">
        <f t="shared" si="102"/>
        <v>1088</v>
      </c>
      <c r="O426" s="3">
        <f t="shared" si="102"/>
        <v>1088</v>
      </c>
      <c r="P426" s="3"/>
      <c r="Q426" s="3"/>
      <c r="R426" s="3">
        <v>1022.7</v>
      </c>
      <c r="S426" s="3">
        <v>1022.7</v>
      </c>
      <c r="T426" s="3"/>
      <c r="U426" s="3"/>
      <c r="V426" s="3">
        <v>65.3</v>
      </c>
      <c r="W426" s="3">
        <v>65.3</v>
      </c>
      <c r="X426" s="3">
        <f t="shared" si="103"/>
        <v>656.5</v>
      </c>
      <c r="Y426" s="3"/>
      <c r="Z426" s="3">
        <v>617.1</v>
      </c>
      <c r="AA426" s="3"/>
      <c r="AB426" s="3">
        <v>39.4</v>
      </c>
      <c r="AC426" s="3"/>
      <c r="AD426" s="3"/>
      <c r="AE426" s="3"/>
      <c r="AF426" s="3"/>
      <c r="AG426" s="3"/>
      <c r="AH426" s="3"/>
      <c r="AI426" s="3"/>
      <c r="AJ426" s="3"/>
      <c r="AK426" s="3"/>
      <c r="AL426" s="3"/>
      <c r="AM426" s="3"/>
      <c r="AN426" s="3"/>
      <c r="AO426" s="3"/>
      <c r="AP426" s="3"/>
      <c r="AQ426" s="3"/>
    </row>
    <row r="427" spans="1:43" ht="35.450000000000003" customHeight="1" thickBot="1">
      <c r="A427" s="72" t="s">
        <v>564</v>
      </c>
      <c r="B427" s="80"/>
      <c r="F427" s="139"/>
      <c r="G427" s="64"/>
      <c r="H427" s="64"/>
      <c r="I427" s="139"/>
      <c r="J427" s="139"/>
      <c r="K427" s="63"/>
      <c r="L427" s="64"/>
      <c r="M427" s="87" t="s">
        <v>590</v>
      </c>
      <c r="N427" s="3">
        <f t="shared" si="102"/>
        <v>73.900000000000006</v>
      </c>
      <c r="O427" s="3">
        <f t="shared" si="102"/>
        <v>73.900000000000006</v>
      </c>
      <c r="P427" s="3"/>
      <c r="Q427" s="3"/>
      <c r="R427" s="3">
        <v>73.2</v>
      </c>
      <c r="S427" s="3">
        <v>73.2</v>
      </c>
      <c r="T427" s="3"/>
      <c r="U427" s="3"/>
      <c r="V427" s="3">
        <v>0.7</v>
      </c>
      <c r="W427" s="3">
        <v>0.7</v>
      </c>
      <c r="X427" s="3">
        <f t="shared" si="103"/>
        <v>188</v>
      </c>
      <c r="Y427" s="3"/>
      <c r="Z427" s="3">
        <v>186.1</v>
      </c>
      <c r="AA427" s="3"/>
      <c r="AB427" s="3">
        <v>1.9</v>
      </c>
      <c r="AC427" s="3"/>
      <c r="AD427" s="3"/>
      <c r="AE427" s="3"/>
      <c r="AF427" s="3"/>
      <c r="AG427" s="3"/>
      <c r="AH427" s="3"/>
      <c r="AI427" s="3"/>
      <c r="AJ427" s="3"/>
      <c r="AK427" s="3"/>
      <c r="AL427" s="3"/>
      <c r="AM427" s="3"/>
      <c r="AN427" s="3"/>
      <c r="AO427" s="3"/>
      <c r="AP427" s="3"/>
      <c r="AQ427" s="3"/>
    </row>
    <row r="428" spans="1:43" ht="35.450000000000003" customHeight="1" thickBot="1">
      <c r="A428" s="72" t="s">
        <v>564</v>
      </c>
      <c r="B428" s="80"/>
      <c r="C428" s="64"/>
      <c r="D428" s="64"/>
      <c r="E428" s="64"/>
      <c r="F428" s="179"/>
      <c r="G428" s="64"/>
      <c r="H428" s="223"/>
      <c r="I428" s="210"/>
      <c r="J428" s="64"/>
      <c r="K428" s="210"/>
      <c r="L428" s="64"/>
      <c r="M428" s="87" t="s">
        <v>591</v>
      </c>
      <c r="N428" s="3"/>
      <c r="O428" s="3">
        <f t="shared" si="102"/>
        <v>0</v>
      </c>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row>
    <row r="429" spans="1:43" ht="35.450000000000003" customHeight="1" thickBot="1">
      <c r="A429" s="72" t="s">
        <v>564</v>
      </c>
      <c r="B429" s="80"/>
      <c r="C429" s="64"/>
      <c r="D429" s="64"/>
      <c r="E429" s="64"/>
      <c r="F429" s="248"/>
      <c r="G429" s="64"/>
      <c r="H429" s="223"/>
      <c r="I429" s="249"/>
      <c r="J429" s="139"/>
      <c r="K429" s="210"/>
      <c r="L429" s="64"/>
      <c r="M429" s="87" t="s">
        <v>592</v>
      </c>
      <c r="N429" s="3"/>
      <c r="O429" s="3">
        <f t="shared" si="102"/>
        <v>0</v>
      </c>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row>
    <row r="430" spans="1:43" ht="35.450000000000003" customHeight="1" thickBot="1">
      <c r="A430" s="72" t="s">
        <v>564</v>
      </c>
      <c r="B430" s="80"/>
      <c r="C430" s="64"/>
      <c r="D430" s="64"/>
      <c r="E430" s="64"/>
      <c r="F430" s="139"/>
      <c r="G430" s="64"/>
      <c r="H430" s="64"/>
      <c r="I430" s="139"/>
      <c r="J430" s="139"/>
      <c r="K430" s="63"/>
      <c r="L430" s="64"/>
      <c r="M430" s="87" t="s">
        <v>575</v>
      </c>
      <c r="N430" s="3"/>
      <c r="O430" s="3">
        <f t="shared" si="102"/>
        <v>0</v>
      </c>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row>
    <row r="431" spans="1:43" ht="35.450000000000003" customHeight="1" thickBot="1">
      <c r="A431" s="72" t="s">
        <v>564</v>
      </c>
      <c r="B431" s="80"/>
      <c r="C431" s="64"/>
      <c r="D431" s="135"/>
      <c r="E431" s="3"/>
      <c r="F431" s="139"/>
      <c r="G431" s="3"/>
      <c r="H431" s="4"/>
      <c r="I431" s="64"/>
      <c r="J431" s="3"/>
      <c r="K431" s="180"/>
      <c r="L431" s="64"/>
      <c r="M431" s="87" t="s">
        <v>593</v>
      </c>
      <c r="N431" s="3"/>
      <c r="O431" s="3">
        <f t="shared" si="102"/>
        <v>0</v>
      </c>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row>
    <row r="432" spans="1:43" ht="35.450000000000003" customHeight="1" thickBot="1">
      <c r="A432" s="72" t="s">
        <v>564</v>
      </c>
      <c r="B432" s="80"/>
      <c r="C432" s="64"/>
      <c r="D432" s="64"/>
      <c r="E432" s="64"/>
      <c r="F432" s="64"/>
      <c r="G432" s="64"/>
      <c r="H432" s="64"/>
      <c r="I432" s="64"/>
      <c r="J432" s="64"/>
      <c r="K432" s="63"/>
      <c r="L432" s="64"/>
      <c r="M432" s="87" t="s">
        <v>594</v>
      </c>
      <c r="N432" s="3">
        <f t="shared" ref="N432:O447" si="104">P432+R432+T432+V432</f>
        <v>0</v>
      </c>
      <c r="O432" s="3">
        <f t="shared" si="102"/>
        <v>0</v>
      </c>
      <c r="P432" s="3"/>
      <c r="Q432" s="3"/>
      <c r="R432" s="3"/>
      <c r="S432" s="3"/>
      <c r="T432" s="3"/>
      <c r="U432" s="3"/>
      <c r="V432" s="3"/>
      <c r="W432" s="3"/>
      <c r="X432" s="3">
        <f>Y432+Z432+AA432+AB432</f>
        <v>0</v>
      </c>
      <c r="Y432" s="3"/>
      <c r="Z432" s="3"/>
      <c r="AA432" s="3"/>
      <c r="AB432" s="3"/>
      <c r="AC432" s="3">
        <f>AD432+AE432+AF432+AG432</f>
        <v>0</v>
      </c>
      <c r="AD432" s="3"/>
      <c r="AE432" s="3"/>
      <c r="AF432" s="3"/>
      <c r="AG432" s="3"/>
      <c r="AH432" s="3">
        <f>AI432+AJ432+AK432+AL432</f>
        <v>0</v>
      </c>
      <c r="AI432" s="3"/>
      <c r="AJ432" s="3"/>
      <c r="AK432" s="3"/>
      <c r="AL432" s="3"/>
      <c r="AM432" s="3">
        <f>AN432+AO432+AP432+AQ432</f>
        <v>0</v>
      </c>
      <c r="AN432" s="3"/>
      <c r="AO432" s="3"/>
      <c r="AP432" s="3"/>
      <c r="AQ432" s="3"/>
    </row>
    <row r="433" spans="1:43" ht="35.450000000000003" customHeight="1" thickBot="1">
      <c r="A433" s="72" t="s">
        <v>564</v>
      </c>
      <c r="B433" s="80"/>
      <c r="C433" s="64"/>
      <c r="D433" s="64"/>
      <c r="E433" s="64"/>
      <c r="F433" s="139"/>
      <c r="G433" s="64"/>
      <c r="H433" s="4"/>
      <c r="I433" s="64"/>
      <c r="J433" s="64"/>
      <c r="K433" s="63"/>
      <c r="L433" s="64"/>
      <c r="M433" s="87" t="s">
        <v>595</v>
      </c>
      <c r="N433" s="3">
        <f t="shared" si="104"/>
        <v>718.5</v>
      </c>
      <c r="O433" s="3">
        <f t="shared" si="102"/>
        <v>718.5</v>
      </c>
      <c r="P433" s="3"/>
      <c r="Q433" s="3"/>
      <c r="R433" s="3">
        <v>718.5</v>
      </c>
      <c r="S433" s="3">
        <v>718.5</v>
      </c>
      <c r="T433" s="3"/>
      <c r="U433" s="3"/>
      <c r="V433" s="3"/>
      <c r="W433" s="3"/>
      <c r="X433" s="3">
        <f t="shared" ref="X433:X440" si="105">Y433+Z433+AA433+AB433</f>
        <v>0</v>
      </c>
      <c r="Y433" s="3"/>
      <c r="Z433" s="3"/>
      <c r="AA433" s="3"/>
      <c r="AB433" s="3"/>
      <c r="AC433" s="3">
        <f t="shared" ref="AC433:AC440" si="106">AD433+AE433+AF433+AG433</f>
        <v>0</v>
      </c>
      <c r="AD433" s="3"/>
      <c r="AE433" s="3"/>
      <c r="AF433" s="3"/>
      <c r="AG433" s="3"/>
      <c r="AH433" s="3"/>
      <c r="AI433" s="3"/>
      <c r="AJ433" s="3"/>
      <c r="AK433" s="3"/>
      <c r="AL433" s="3"/>
      <c r="AM433" s="3"/>
      <c r="AN433" s="3"/>
      <c r="AO433" s="3"/>
      <c r="AP433" s="3"/>
      <c r="AQ433" s="3"/>
    </row>
    <row r="434" spans="1:43" ht="35.450000000000003" customHeight="1" thickBot="1">
      <c r="A434" s="72" t="s">
        <v>564</v>
      </c>
      <c r="B434" s="80"/>
      <c r="C434" s="64"/>
      <c r="D434" s="64"/>
      <c r="E434" s="64"/>
      <c r="F434" s="64"/>
      <c r="G434" s="64"/>
      <c r="H434" s="64"/>
      <c r="I434" s="64"/>
      <c r="J434" s="64"/>
      <c r="K434" s="63"/>
      <c r="L434" s="64"/>
      <c r="M434" s="87" t="s">
        <v>596</v>
      </c>
      <c r="N434" s="3">
        <f t="shared" si="104"/>
        <v>5620.1</v>
      </c>
      <c r="O434" s="3">
        <f t="shared" si="102"/>
        <v>5619.9</v>
      </c>
      <c r="P434" s="3"/>
      <c r="Q434" s="3"/>
      <c r="R434" s="3">
        <v>5000</v>
      </c>
      <c r="S434" s="3">
        <v>5000</v>
      </c>
      <c r="T434" s="3"/>
      <c r="U434" s="3"/>
      <c r="V434" s="3">
        <v>620.1</v>
      </c>
      <c r="W434" s="3">
        <v>619.9</v>
      </c>
      <c r="X434" s="3">
        <f t="shared" si="105"/>
        <v>0</v>
      </c>
      <c r="Y434" s="3"/>
      <c r="Z434" s="3"/>
      <c r="AA434" s="3"/>
      <c r="AB434" s="3"/>
      <c r="AC434" s="3">
        <f t="shared" si="106"/>
        <v>0</v>
      </c>
      <c r="AD434" s="3"/>
      <c r="AE434" s="3"/>
      <c r="AF434" s="3"/>
      <c r="AG434" s="3"/>
      <c r="AH434" s="3"/>
      <c r="AI434" s="3"/>
      <c r="AJ434" s="3"/>
      <c r="AK434" s="3"/>
      <c r="AL434" s="3"/>
      <c r="AM434" s="3"/>
      <c r="AN434" s="3"/>
      <c r="AO434" s="3"/>
      <c r="AP434" s="3"/>
      <c r="AQ434" s="3"/>
    </row>
    <row r="435" spans="1:43" ht="35.450000000000003" customHeight="1" thickBot="1">
      <c r="A435" s="72" t="s">
        <v>564</v>
      </c>
      <c r="B435" s="80"/>
      <c r="C435" s="64"/>
      <c r="D435" s="64"/>
      <c r="E435" s="64"/>
      <c r="F435" s="64"/>
      <c r="G435" s="64"/>
      <c r="H435" s="64"/>
      <c r="I435" s="64"/>
      <c r="J435" s="64"/>
      <c r="K435" s="63"/>
      <c r="L435" s="64"/>
      <c r="M435" s="87" t="s">
        <v>597</v>
      </c>
      <c r="N435" s="3">
        <f t="shared" si="104"/>
        <v>565.4</v>
      </c>
      <c r="O435" s="3">
        <f t="shared" si="104"/>
        <v>468.6</v>
      </c>
      <c r="P435" s="3"/>
      <c r="Q435" s="3"/>
      <c r="R435" s="3">
        <v>565.4</v>
      </c>
      <c r="S435" s="3">
        <v>468.6</v>
      </c>
      <c r="T435" s="3"/>
      <c r="U435" s="3"/>
      <c r="V435" s="3"/>
      <c r="W435" s="3"/>
      <c r="X435" s="3">
        <f t="shared" si="105"/>
        <v>0</v>
      </c>
      <c r="Y435" s="3"/>
      <c r="Z435" s="3"/>
      <c r="AA435" s="3"/>
      <c r="AB435" s="3"/>
      <c r="AC435" s="3">
        <f t="shared" si="106"/>
        <v>0</v>
      </c>
      <c r="AD435" s="3"/>
      <c r="AE435" s="3"/>
      <c r="AF435" s="3"/>
      <c r="AG435" s="3"/>
      <c r="AH435" s="3"/>
      <c r="AI435" s="3"/>
      <c r="AJ435" s="3"/>
      <c r="AK435" s="3"/>
      <c r="AL435" s="3"/>
      <c r="AM435" s="3"/>
      <c r="AN435" s="3"/>
      <c r="AO435" s="3"/>
      <c r="AP435" s="3"/>
      <c r="AQ435" s="3"/>
    </row>
    <row r="436" spans="1:43" ht="35.450000000000003" customHeight="1" thickBot="1">
      <c r="A436" s="72" t="s">
        <v>564</v>
      </c>
      <c r="B436" s="80"/>
      <c r="C436" s="64"/>
      <c r="D436" s="64"/>
      <c r="E436" s="64"/>
      <c r="F436" s="64"/>
      <c r="G436" s="64"/>
      <c r="H436" s="64"/>
      <c r="I436" s="64"/>
      <c r="J436" s="64"/>
      <c r="K436" s="63"/>
      <c r="L436" s="64"/>
      <c r="M436" s="87" t="s">
        <v>598</v>
      </c>
      <c r="N436" s="3">
        <f t="shared" si="104"/>
        <v>0</v>
      </c>
      <c r="O436" s="3">
        <f t="shared" si="104"/>
        <v>0</v>
      </c>
      <c r="P436" s="3"/>
      <c r="Q436" s="3"/>
      <c r="R436" s="3"/>
      <c r="S436" s="3"/>
      <c r="T436" s="3"/>
      <c r="U436" s="3"/>
      <c r="V436" s="3"/>
      <c r="W436" s="3"/>
      <c r="X436" s="3">
        <f t="shared" si="105"/>
        <v>0</v>
      </c>
      <c r="Y436" s="3"/>
      <c r="Z436" s="3"/>
      <c r="AA436" s="3"/>
      <c r="AB436" s="3"/>
      <c r="AC436" s="3">
        <f t="shared" si="106"/>
        <v>0</v>
      </c>
      <c r="AD436" s="3"/>
      <c r="AE436" s="3"/>
      <c r="AF436" s="3"/>
      <c r="AG436" s="3"/>
      <c r="AH436" s="3"/>
      <c r="AI436" s="3"/>
      <c r="AJ436" s="3"/>
      <c r="AK436" s="3"/>
      <c r="AL436" s="3"/>
      <c r="AM436" s="3"/>
      <c r="AN436" s="3"/>
      <c r="AO436" s="3"/>
      <c r="AP436" s="3"/>
      <c r="AQ436" s="3"/>
    </row>
    <row r="437" spans="1:43" ht="35.450000000000003" customHeight="1" thickBot="1">
      <c r="A437" s="72" t="s">
        <v>564</v>
      </c>
      <c r="B437" s="80"/>
      <c r="C437" s="64"/>
      <c r="D437" s="64"/>
      <c r="E437" s="64"/>
      <c r="F437" s="64"/>
      <c r="G437" s="64"/>
      <c r="H437" s="64"/>
      <c r="I437" s="64"/>
      <c r="J437" s="64"/>
      <c r="K437" s="63"/>
      <c r="L437" s="64"/>
      <c r="M437" s="87" t="s">
        <v>599</v>
      </c>
      <c r="N437" s="3">
        <f t="shared" si="104"/>
        <v>0</v>
      </c>
      <c r="O437" s="3">
        <f t="shared" si="104"/>
        <v>0</v>
      </c>
      <c r="P437" s="3"/>
      <c r="Q437" s="3"/>
      <c r="R437" s="3"/>
      <c r="S437" s="3"/>
      <c r="T437" s="3"/>
      <c r="U437" s="3"/>
      <c r="V437" s="3"/>
      <c r="W437" s="3"/>
      <c r="X437" s="3">
        <f t="shared" si="105"/>
        <v>0</v>
      </c>
      <c r="Y437" s="3"/>
      <c r="Z437" s="3"/>
      <c r="AA437" s="3"/>
      <c r="AB437" s="3"/>
      <c r="AC437" s="3">
        <f t="shared" si="106"/>
        <v>0</v>
      </c>
      <c r="AD437" s="3"/>
      <c r="AE437" s="3"/>
      <c r="AF437" s="3"/>
      <c r="AG437" s="3"/>
      <c r="AH437" s="3"/>
      <c r="AI437" s="3"/>
      <c r="AJ437" s="3"/>
      <c r="AK437" s="3"/>
      <c r="AL437" s="3"/>
      <c r="AM437" s="3"/>
      <c r="AN437" s="3"/>
      <c r="AO437" s="3"/>
      <c r="AP437" s="3"/>
      <c r="AQ437" s="3"/>
    </row>
    <row r="438" spans="1:43" ht="35.450000000000003" customHeight="1" thickBot="1">
      <c r="A438" s="72" t="s">
        <v>564</v>
      </c>
      <c r="B438" s="80"/>
      <c r="C438" s="64"/>
      <c r="D438" s="64"/>
      <c r="E438" s="64"/>
      <c r="F438" s="64"/>
      <c r="G438" s="64"/>
      <c r="H438" s="64"/>
      <c r="I438" s="64"/>
      <c r="J438" s="64"/>
      <c r="K438" s="63"/>
      <c r="L438" s="64"/>
      <c r="M438" s="87" t="s">
        <v>600</v>
      </c>
      <c r="N438" s="3">
        <f t="shared" si="104"/>
        <v>0</v>
      </c>
      <c r="O438" s="3">
        <f t="shared" si="104"/>
        <v>0</v>
      </c>
      <c r="P438" s="3"/>
      <c r="Q438" s="3"/>
      <c r="R438" s="3"/>
      <c r="S438" s="3"/>
      <c r="T438" s="3"/>
      <c r="U438" s="3"/>
      <c r="V438" s="3"/>
      <c r="W438" s="3"/>
      <c r="X438" s="3">
        <f t="shared" si="105"/>
        <v>0</v>
      </c>
      <c r="Y438" s="3"/>
      <c r="Z438" s="3"/>
      <c r="AA438" s="3"/>
      <c r="AB438" s="3"/>
      <c r="AC438" s="3">
        <f t="shared" si="106"/>
        <v>0</v>
      </c>
      <c r="AD438" s="3"/>
      <c r="AE438" s="3"/>
      <c r="AF438" s="3"/>
      <c r="AG438" s="3"/>
      <c r="AH438" s="3"/>
      <c r="AI438" s="3"/>
      <c r="AJ438" s="3"/>
      <c r="AK438" s="3"/>
      <c r="AL438" s="3"/>
      <c r="AM438" s="3"/>
      <c r="AN438" s="3"/>
      <c r="AO438" s="3"/>
      <c r="AP438" s="3"/>
      <c r="AQ438" s="3"/>
    </row>
    <row r="439" spans="1:43" ht="35.450000000000003" customHeight="1" thickBot="1">
      <c r="A439" s="72" t="s">
        <v>564</v>
      </c>
      <c r="B439" s="80"/>
      <c r="C439" s="64"/>
      <c r="D439" s="64"/>
      <c r="E439" s="64"/>
      <c r="F439" s="64"/>
      <c r="G439" s="64"/>
      <c r="H439" s="64"/>
      <c r="I439" s="64"/>
      <c r="J439" s="64"/>
      <c r="K439" s="63"/>
      <c r="L439" s="64"/>
      <c r="M439" s="87" t="s">
        <v>601</v>
      </c>
      <c r="N439" s="3">
        <f t="shared" si="104"/>
        <v>371.7</v>
      </c>
      <c r="O439" s="3">
        <f t="shared" si="104"/>
        <v>365.7</v>
      </c>
      <c r="P439" s="3"/>
      <c r="Q439" s="3"/>
      <c r="R439" s="3">
        <v>371.7</v>
      </c>
      <c r="S439" s="3">
        <v>365.7</v>
      </c>
      <c r="T439" s="3"/>
      <c r="U439" s="3"/>
      <c r="V439" s="3"/>
      <c r="W439" s="3"/>
      <c r="X439" s="3">
        <f t="shared" si="105"/>
        <v>0</v>
      </c>
      <c r="Y439" s="3"/>
      <c r="Z439" s="3"/>
      <c r="AA439" s="3"/>
      <c r="AB439" s="3"/>
      <c r="AC439" s="3">
        <f t="shared" si="106"/>
        <v>0</v>
      </c>
      <c r="AD439" s="3"/>
      <c r="AE439" s="3"/>
      <c r="AF439" s="3"/>
      <c r="AG439" s="3"/>
      <c r="AH439" s="3"/>
      <c r="AI439" s="3"/>
      <c r="AJ439" s="3"/>
      <c r="AK439" s="3"/>
      <c r="AL439" s="3"/>
      <c r="AM439" s="3"/>
      <c r="AN439" s="3"/>
      <c r="AO439" s="3"/>
      <c r="AP439" s="3"/>
      <c r="AQ439" s="3"/>
    </row>
    <row r="440" spans="1:43" ht="35.450000000000003" customHeight="1" thickBot="1">
      <c r="A440" s="72" t="s">
        <v>564</v>
      </c>
      <c r="B440" s="80"/>
      <c r="C440" s="64"/>
      <c r="D440" s="64"/>
      <c r="E440" s="64"/>
      <c r="F440" s="64"/>
      <c r="G440" s="64"/>
      <c r="H440" s="64"/>
      <c r="I440" s="64" t="s">
        <v>602</v>
      </c>
      <c r="J440" s="64" t="s">
        <v>277</v>
      </c>
      <c r="K440" s="63" t="s">
        <v>603</v>
      </c>
      <c r="L440" s="64"/>
      <c r="M440" s="87" t="s">
        <v>604</v>
      </c>
      <c r="N440" s="3">
        <f t="shared" si="104"/>
        <v>3800</v>
      </c>
      <c r="O440" s="3">
        <f t="shared" si="104"/>
        <v>3415.2</v>
      </c>
      <c r="P440" s="3"/>
      <c r="Q440" s="3"/>
      <c r="R440" s="3">
        <v>3800</v>
      </c>
      <c r="S440" s="3">
        <v>3415.2</v>
      </c>
      <c r="T440" s="3"/>
      <c r="U440" s="3"/>
      <c r="V440" s="3"/>
      <c r="W440" s="3"/>
      <c r="X440" s="3">
        <f t="shared" si="105"/>
        <v>0</v>
      </c>
      <c r="Y440" s="3"/>
      <c r="Z440" s="3">
        <v>0</v>
      </c>
      <c r="AA440" s="3"/>
      <c r="AB440" s="3"/>
      <c r="AC440" s="3">
        <f t="shared" si="106"/>
        <v>0</v>
      </c>
      <c r="AD440" s="3"/>
      <c r="AE440" s="3">
        <v>0</v>
      </c>
      <c r="AF440" s="3"/>
      <c r="AG440" s="3"/>
      <c r="AH440" s="3"/>
      <c r="AI440" s="3"/>
      <c r="AJ440" s="3"/>
      <c r="AK440" s="3"/>
      <c r="AL440" s="3"/>
      <c r="AM440" s="3"/>
      <c r="AN440" s="3"/>
      <c r="AO440" s="3"/>
      <c r="AP440" s="3"/>
      <c r="AQ440" s="3"/>
    </row>
    <row r="441" spans="1:43" ht="35.450000000000003" customHeight="1" thickBot="1">
      <c r="A441" s="72" t="s">
        <v>564</v>
      </c>
      <c r="B441" s="80"/>
      <c r="C441" s="64"/>
      <c r="D441" s="64"/>
      <c r="E441" s="64"/>
      <c r="F441" s="64"/>
      <c r="G441" s="64"/>
      <c r="H441" s="64"/>
      <c r="I441" s="64"/>
      <c r="J441" s="64"/>
      <c r="K441" s="63"/>
      <c r="L441" s="64"/>
      <c r="M441" s="87" t="s">
        <v>605</v>
      </c>
      <c r="N441" s="3"/>
      <c r="O441" s="3">
        <f t="shared" si="104"/>
        <v>0</v>
      </c>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row>
    <row r="442" spans="1:43" ht="35.450000000000003" customHeight="1" thickBot="1">
      <c r="A442" s="72" t="s">
        <v>564</v>
      </c>
      <c r="B442" s="80"/>
      <c r="C442" s="64"/>
      <c r="D442" s="64"/>
      <c r="E442" s="64"/>
      <c r="F442" s="64"/>
      <c r="G442" s="64"/>
      <c r="H442" s="64"/>
      <c r="I442" s="64"/>
      <c r="J442" s="64"/>
      <c r="K442" s="63"/>
      <c r="L442" s="64"/>
      <c r="M442" s="87" t="s">
        <v>606</v>
      </c>
      <c r="N442" s="3">
        <f>P442+R442+T442+V442</f>
        <v>0</v>
      </c>
      <c r="O442" s="3">
        <f t="shared" si="104"/>
        <v>0</v>
      </c>
      <c r="P442" s="3"/>
      <c r="Q442" s="3"/>
      <c r="R442" s="3"/>
      <c r="S442" s="3"/>
      <c r="T442" s="3"/>
      <c r="U442" s="3"/>
      <c r="V442" s="3"/>
      <c r="W442" s="3"/>
      <c r="X442" s="3">
        <f>Y442+Z442+AA442+AB442</f>
        <v>0</v>
      </c>
      <c r="Y442" s="3"/>
      <c r="Z442" s="3"/>
      <c r="AA442" s="3"/>
      <c r="AB442" s="3"/>
      <c r="AC442" s="3">
        <f>AD442+AE442+AF442+AG442</f>
        <v>0</v>
      </c>
      <c r="AD442" s="3"/>
      <c r="AE442" s="3"/>
      <c r="AF442" s="3"/>
      <c r="AG442" s="3"/>
      <c r="AH442" s="3">
        <f>AI442+AJ442+AK442+AL442</f>
        <v>0</v>
      </c>
      <c r="AI442" s="3"/>
      <c r="AJ442" s="3"/>
      <c r="AK442" s="3"/>
      <c r="AL442" s="3"/>
      <c r="AM442" s="3">
        <f>AN442+AO442+AP442+AQ442</f>
        <v>0</v>
      </c>
      <c r="AN442" s="3"/>
      <c r="AO442" s="3"/>
      <c r="AP442" s="3"/>
      <c r="AQ442" s="3"/>
    </row>
    <row r="443" spans="1:43" ht="35.450000000000003" customHeight="1" thickBot="1">
      <c r="A443" s="72" t="s">
        <v>564</v>
      </c>
      <c r="B443" s="80"/>
      <c r="F443" s="64"/>
      <c r="G443" s="64"/>
      <c r="H443" s="64"/>
      <c r="I443" s="64"/>
      <c r="J443" s="64"/>
      <c r="K443" s="63"/>
      <c r="L443" s="64"/>
      <c r="M443" s="87" t="s">
        <v>607</v>
      </c>
      <c r="N443" s="3"/>
      <c r="O443" s="3">
        <f t="shared" si="104"/>
        <v>0</v>
      </c>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row>
    <row r="444" spans="1:43" ht="35.450000000000003" customHeight="1" thickBot="1">
      <c r="A444" s="72" t="s">
        <v>564</v>
      </c>
      <c r="B444" s="80"/>
      <c r="C444" s="64"/>
      <c r="D444" s="64"/>
      <c r="E444" s="64"/>
      <c r="F444" s="139"/>
      <c r="G444" s="64"/>
      <c r="H444" s="64"/>
      <c r="I444" s="139"/>
      <c r="J444" s="139"/>
      <c r="K444" s="63"/>
      <c r="L444" s="64"/>
      <c r="M444" s="87" t="s">
        <v>575</v>
      </c>
      <c r="N444" s="3"/>
      <c r="O444" s="3">
        <f t="shared" si="104"/>
        <v>0</v>
      </c>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row>
    <row r="445" spans="1:43" ht="35.450000000000003" customHeight="1" thickBot="1">
      <c r="A445" s="72" t="s">
        <v>564</v>
      </c>
      <c r="B445" s="80"/>
      <c r="C445" s="64"/>
      <c r="D445" s="64"/>
      <c r="E445" s="64"/>
      <c r="F445" s="4"/>
      <c r="G445" s="64"/>
      <c r="H445" s="64"/>
      <c r="I445" s="64"/>
      <c r="J445" s="64"/>
      <c r="K445" s="63"/>
      <c r="L445" s="64"/>
      <c r="M445" s="87" t="s">
        <v>608</v>
      </c>
      <c r="N445" s="3">
        <f>P445+R445+T445+V445</f>
        <v>0</v>
      </c>
      <c r="O445" s="3">
        <f t="shared" si="104"/>
        <v>0</v>
      </c>
      <c r="P445" s="3"/>
      <c r="Q445" s="3"/>
      <c r="R445" s="3"/>
      <c r="S445" s="3"/>
      <c r="T445" s="3"/>
      <c r="U445" s="3"/>
      <c r="V445" s="3"/>
      <c r="W445" s="3"/>
      <c r="X445" s="3">
        <f>Y445+Z445+AA445+AB445</f>
        <v>0</v>
      </c>
      <c r="Y445" s="3"/>
      <c r="Z445" s="3"/>
      <c r="AA445" s="3"/>
      <c r="AB445" s="3"/>
      <c r="AC445" s="3">
        <f>AD445+AE445+AF445+AG445</f>
        <v>0</v>
      </c>
      <c r="AD445" s="3"/>
      <c r="AE445" s="3"/>
      <c r="AF445" s="3"/>
      <c r="AG445" s="3"/>
      <c r="AH445" s="3">
        <f>AI445+AJ445+AK445+AL445</f>
        <v>0</v>
      </c>
      <c r="AI445" s="3"/>
      <c r="AJ445" s="3"/>
      <c r="AK445" s="3"/>
      <c r="AL445" s="3"/>
      <c r="AM445" s="3">
        <f>AN445+AO445+AP445+AQ445</f>
        <v>0</v>
      </c>
      <c r="AN445" s="3"/>
      <c r="AO445" s="3"/>
      <c r="AP445" s="3"/>
      <c r="AQ445" s="3"/>
    </row>
    <row r="446" spans="1:43" ht="35.450000000000003" customHeight="1" thickBot="1">
      <c r="A446" s="72" t="s">
        <v>564</v>
      </c>
      <c r="B446" s="80"/>
      <c r="C446" s="64"/>
      <c r="D446" s="64"/>
      <c r="E446" s="64"/>
      <c r="F446" s="4"/>
      <c r="G446" s="64"/>
      <c r="H446" s="64"/>
      <c r="I446" s="64"/>
      <c r="J446" s="64"/>
      <c r="K446" s="63"/>
      <c r="L446" s="64"/>
      <c r="M446" s="87" t="s">
        <v>609</v>
      </c>
      <c r="N446" s="3"/>
      <c r="O446" s="3">
        <f t="shared" si="104"/>
        <v>0</v>
      </c>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row>
    <row r="447" spans="1:43" ht="35.450000000000003" customHeight="1" thickBot="1">
      <c r="A447" s="72" t="s">
        <v>564</v>
      </c>
      <c r="B447" s="80"/>
      <c r="C447" s="64"/>
      <c r="D447" s="64"/>
      <c r="E447" s="64"/>
      <c r="F447" s="4"/>
      <c r="G447" s="64"/>
      <c r="H447" s="64"/>
      <c r="I447" s="64"/>
      <c r="J447" s="64"/>
      <c r="K447" s="63"/>
      <c r="L447" s="64"/>
      <c r="M447" s="87" t="s">
        <v>610</v>
      </c>
      <c r="N447" s="3">
        <f t="shared" ref="N447:O461" si="107">P447+R447+T447+V447</f>
        <v>0</v>
      </c>
      <c r="O447" s="3">
        <f t="shared" si="104"/>
        <v>0</v>
      </c>
      <c r="P447" s="3"/>
      <c r="Q447" s="3"/>
      <c r="R447" s="3"/>
      <c r="S447" s="3"/>
      <c r="T447" s="3"/>
      <c r="U447" s="3"/>
      <c r="V447" s="3"/>
      <c r="W447" s="3"/>
      <c r="X447" s="3">
        <f t="shared" ref="X447:X452" si="108">Y447+Z447+AA447+AB447</f>
        <v>0</v>
      </c>
      <c r="Y447" s="3"/>
      <c r="Z447" s="3"/>
      <c r="AA447" s="3"/>
      <c r="AB447" s="3"/>
      <c r="AC447" s="3">
        <f t="shared" ref="AC447:AC452" si="109">AD447+AE447+AF447+AG447</f>
        <v>0</v>
      </c>
      <c r="AD447" s="3"/>
      <c r="AE447" s="3"/>
      <c r="AF447" s="3"/>
      <c r="AG447" s="3"/>
      <c r="AH447" s="3">
        <f t="shared" ref="AH447:AH452" si="110">AI447+AJ447+AK447+AL447</f>
        <v>0</v>
      </c>
      <c r="AI447" s="3"/>
      <c r="AJ447" s="3"/>
      <c r="AK447" s="3"/>
      <c r="AL447" s="3"/>
      <c r="AM447" s="3">
        <f t="shared" ref="AM447:AM452" si="111">AN447+AO447+AP447+AQ447</f>
        <v>0</v>
      </c>
      <c r="AN447" s="3"/>
      <c r="AO447" s="3"/>
      <c r="AP447" s="3"/>
      <c r="AQ447" s="3"/>
    </row>
    <row r="448" spans="1:43" ht="35.450000000000003" customHeight="1" thickBot="1">
      <c r="A448" s="72" t="s">
        <v>564</v>
      </c>
      <c r="B448" s="80"/>
      <c r="C448" s="64"/>
      <c r="D448" s="64"/>
      <c r="E448" s="64"/>
      <c r="F448" s="4"/>
      <c r="G448" s="64"/>
      <c r="H448" s="64"/>
      <c r="I448" s="64"/>
      <c r="J448" s="64"/>
      <c r="K448" s="63"/>
      <c r="L448" s="64"/>
      <c r="M448" s="87" t="s">
        <v>611</v>
      </c>
      <c r="N448" s="3">
        <f t="shared" si="107"/>
        <v>0</v>
      </c>
      <c r="O448" s="3">
        <f t="shared" si="107"/>
        <v>0</v>
      </c>
      <c r="P448" s="3"/>
      <c r="Q448" s="3"/>
      <c r="R448" s="3"/>
      <c r="S448" s="3"/>
      <c r="T448" s="3"/>
      <c r="U448" s="3"/>
      <c r="V448" s="3"/>
      <c r="W448" s="3"/>
      <c r="X448" s="3">
        <f t="shared" si="108"/>
        <v>0</v>
      </c>
      <c r="Y448" s="3"/>
      <c r="Z448" s="3"/>
      <c r="AA448" s="3"/>
      <c r="AB448" s="3"/>
      <c r="AC448" s="3">
        <f t="shared" si="109"/>
        <v>0</v>
      </c>
      <c r="AD448" s="3"/>
      <c r="AE448" s="3"/>
      <c r="AF448" s="3"/>
      <c r="AG448" s="3"/>
      <c r="AH448" s="3">
        <f t="shared" si="110"/>
        <v>0</v>
      </c>
      <c r="AI448" s="3"/>
      <c r="AJ448" s="3"/>
      <c r="AK448" s="3"/>
      <c r="AL448" s="3"/>
      <c r="AM448" s="3">
        <f t="shared" si="111"/>
        <v>0</v>
      </c>
      <c r="AN448" s="3"/>
      <c r="AO448" s="3"/>
      <c r="AP448" s="3"/>
      <c r="AQ448" s="3"/>
    </row>
    <row r="449" spans="1:43" ht="35.450000000000003" customHeight="1" thickBot="1">
      <c r="A449" s="72" t="s">
        <v>564</v>
      </c>
      <c r="B449" s="80"/>
      <c r="C449" s="64"/>
      <c r="D449" s="64"/>
      <c r="E449" s="64"/>
      <c r="F449" s="4"/>
      <c r="G449" s="64"/>
      <c r="H449" s="64"/>
      <c r="I449" s="64"/>
      <c r="J449" s="64"/>
      <c r="K449" s="63"/>
      <c r="L449" s="64"/>
      <c r="M449" s="87" t="s">
        <v>612</v>
      </c>
      <c r="N449" s="3">
        <f t="shared" si="107"/>
        <v>0</v>
      </c>
      <c r="O449" s="3">
        <f t="shared" si="107"/>
        <v>0</v>
      </c>
      <c r="P449" s="3"/>
      <c r="Q449" s="3"/>
      <c r="R449" s="3"/>
      <c r="S449" s="3"/>
      <c r="T449" s="3"/>
      <c r="U449" s="3"/>
      <c r="V449" s="3"/>
      <c r="W449" s="3"/>
      <c r="X449" s="3">
        <f t="shared" si="108"/>
        <v>0</v>
      </c>
      <c r="Y449" s="3"/>
      <c r="Z449" s="3"/>
      <c r="AA449" s="3"/>
      <c r="AB449" s="3"/>
      <c r="AC449" s="3">
        <f t="shared" si="109"/>
        <v>0</v>
      </c>
      <c r="AD449" s="3"/>
      <c r="AE449" s="3"/>
      <c r="AF449" s="3"/>
      <c r="AG449" s="3"/>
      <c r="AH449" s="3">
        <f t="shared" si="110"/>
        <v>0</v>
      </c>
      <c r="AI449" s="3"/>
      <c r="AJ449" s="3"/>
      <c r="AK449" s="3"/>
      <c r="AL449" s="3"/>
      <c r="AM449" s="3">
        <f t="shared" si="111"/>
        <v>0</v>
      </c>
      <c r="AN449" s="3"/>
      <c r="AO449" s="3"/>
      <c r="AP449" s="3"/>
      <c r="AQ449" s="3"/>
    </row>
    <row r="450" spans="1:43" ht="35.450000000000003" customHeight="1" thickBot="1">
      <c r="A450" s="72" t="s">
        <v>564</v>
      </c>
      <c r="B450" s="80"/>
      <c r="C450" s="64"/>
      <c r="D450" s="64"/>
      <c r="E450" s="64"/>
      <c r="F450" s="4"/>
      <c r="G450" s="64"/>
      <c r="H450" s="64"/>
      <c r="I450" s="64"/>
      <c r="J450" s="64"/>
      <c r="K450" s="63"/>
      <c r="L450" s="64"/>
      <c r="M450" s="87" t="s">
        <v>613</v>
      </c>
      <c r="N450" s="3">
        <f t="shared" si="107"/>
        <v>13999.2</v>
      </c>
      <c r="O450" s="3">
        <f t="shared" si="107"/>
        <v>13982.3</v>
      </c>
      <c r="P450" s="3"/>
      <c r="Q450" s="3"/>
      <c r="R450" s="3">
        <v>1988.7</v>
      </c>
      <c r="S450" s="3">
        <v>1988.7</v>
      </c>
      <c r="T450" s="3"/>
      <c r="U450" s="3"/>
      <c r="V450" s="3">
        <f>10172+1531.6+380+529.7+807.8+204.4+373.7-1988.7</f>
        <v>12010.5</v>
      </c>
      <c r="W450" s="3">
        <f>13982.3-1988.7</f>
        <v>11993.599999999999</v>
      </c>
      <c r="X450" s="3">
        <f t="shared" si="108"/>
        <v>18890.700000000004</v>
      </c>
      <c r="Y450" s="3"/>
      <c r="Z450" s="3"/>
      <c r="AA450" s="3"/>
      <c r="AB450" s="3">
        <f>16620.9+1679.9+589.9</f>
        <v>18890.700000000004</v>
      </c>
      <c r="AC450" s="3">
        <f t="shared" si="109"/>
        <v>16620.900000000001</v>
      </c>
      <c r="AD450" s="3"/>
      <c r="AE450" s="3"/>
      <c r="AF450" s="3"/>
      <c r="AG450" s="3">
        <v>16620.900000000001</v>
      </c>
      <c r="AH450" s="3">
        <f t="shared" si="110"/>
        <v>16620.900000000001</v>
      </c>
      <c r="AI450" s="3"/>
      <c r="AJ450" s="3"/>
      <c r="AK450" s="3"/>
      <c r="AL450" s="3">
        <v>16620.900000000001</v>
      </c>
      <c r="AM450" s="3">
        <f t="shared" si="111"/>
        <v>16620.900000000001</v>
      </c>
      <c r="AN450" s="3"/>
      <c r="AO450" s="3"/>
      <c r="AP450" s="3"/>
      <c r="AQ450" s="3">
        <v>16620.900000000001</v>
      </c>
    </row>
    <row r="451" spans="1:43" ht="35.450000000000003" customHeight="1" thickBot="1">
      <c r="A451" s="72" t="s">
        <v>564</v>
      </c>
      <c r="B451" s="80"/>
      <c r="C451" s="64"/>
      <c r="D451" s="64"/>
      <c r="E451" s="64"/>
      <c r="F451" s="4"/>
      <c r="G451" s="64"/>
      <c r="H451" s="64"/>
      <c r="I451" s="64"/>
      <c r="J451" s="64"/>
      <c r="K451" s="63"/>
      <c r="L451" s="64"/>
      <c r="M451" s="87" t="s">
        <v>614</v>
      </c>
      <c r="N451" s="3">
        <f t="shared" si="107"/>
        <v>579.6</v>
      </c>
      <c r="O451" s="3">
        <f t="shared" si="107"/>
        <v>579.6</v>
      </c>
      <c r="P451" s="3"/>
      <c r="Q451" s="3"/>
      <c r="R451" s="3"/>
      <c r="S451" s="3"/>
      <c r="T451" s="3"/>
      <c r="U451" s="3"/>
      <c r="V451" s="3">
        <f>335+220+24.6</f>
        <v>579.6</v>
      </c>
      <c r="W451" s="3">
        <v>579.6</v>
      </c>
      <c r="X451" s="3">
        <f t="shared" si="108"/>
        <v>733.80000000000007</v>
      </c>
      <c r="Y451" s="3"/>
      <c r="Z451" s="3"/>
      <c r="AA451" s="3"/>
      <c r="AB451" s="3">
        <f>597.7+72.1+64</f>
        <v>733.80000000000007</v>
      </c>
      <c r="AC451" s="3">
        <f t="shared" si="109"/>
        <v>908.2</v>
      </c>
      <c r="AD451" s="3"/>
      <c r="AE451" s="3"/>
      <c r="AF451" s="3"/>
      <c r="AG451" s="3">
        <v>908.2</v>
      </c>
      <c r="AH451" s="3">
        <f t="shared" si="110"/>
        <v>908.2</v>
      </c>
      <c r="AI451" s="3"/>
      <c r="AJ451" s="3"/>
      <c r="AK451" s="3"/>
      <c r="AL451" s="3">
        <v>908.2</v>
      </c>
      <c r="AM451" s="3">
        <f t="shared" si="111"/>
        <v>908.2</v>
      </c>
      <c r="AN451" s="3"/>
      <c r="AO451" s="3"/>
      <c r="AP451" s="3"/>
      <c r="AQ451" s="3">
        <v>908.2</v>
      </c>
    </row>
    <row r="452" spans="1:43" ht="35.450000000000003" customHeight="1" thickBot="1">
      <c r="A452" s="72" t="s">
        <v>564</v>
      </c>
      <c r="B452" s="80"/>
      <c r="C452" s="64"/>
      <c r="D452" s="64"/>
      <c r="E452" s="64"/>
      <c r="F452" s="4"/>
      <c r="G452" s="64"/>
      <c r="H452" s="64"/>
      <c r="I452" s="64"/>
      <c r="J452" s="64"/>
      <c r="K452" s="63"/>
      <c r="L452" s="64"/>
      <c r="M452" s="87" t="s">
        <v>615</v>
      </c>
      <c r="N452" s="3">
        <f t="shared" si="107"/>
        <v>1406.5</v>
      </c>
      <c r="O452" s="3">
        <f t="shared" si="107"/>
        <v>1378.7</v>
      </c>
      <c r="P452" s="3"/>
      <c r="Q452" s="3"/>
      <c r="R452" s="3"/>
      <c r="S452" s="3"/>
      <c r="T452" s="3"/>
      <c r="U452" s="3"/>
      <c r="V452" s="3">
        <f>1025.5+518.4-200+200-137.4</f>
        <v>1406.5</v>
      </c>
      <c r="W452" s="3">
        <v>1378.7</v>
      </c>
      <c r="X452" s="3">
        <f t="shared" si="108"/>
        <v>2381.1999999999998</v>
      </c>
      <c r="Y452" s="3"/>
      <c r="Z452" s="3"/>
      <c r="AA452" s="3"/>
      <c r="AB452" s="3">
        <f>2902.1-1.9-519</f>
        <v>2381.1999999999998</v>
      </c>
      <c r="AC452" s="3">
        <f t="shared" si="109"/>
        <v>2902.1</v>
      </c>
      <c r="AD452" s="3"/>
      <c r="AE452" s="3"/>
      <c r="AF452" s="3"/>
      <c r="AG452" s="3">
        <v>2902.1</v>
      </c>
      <c r="AH452" s="3">
        <f t="shared" si="110"/>
        <v>2902.1</v>
      </c>
      <c r="AI452" s="3"/>
      <c r="AJ452" s="3"/>
      <c r="AK452" s="3"/>
      <c r="AL452" s="3">
        <v>2902.1</v>
      </c>
      <c r="AM452" s="3">
        <f t="shared" si="111"/>
        <v>2902.1</v>
      </c>
      <c r="AN452" s="3"/>
      <c r="AO452" s="3"/>
      <c r="AP452" s="3"/>
      <c r="AQ452" s="3">
        <v>2902.1</v>
      </c>
    </row>
    <row r="453" spans="1:43" ht="35.450000000000003" customHeight="1" thickBot="1">
      <c r="A453" s="72" t="s">
        <v>564</v>
      </c>
      <c r="B453" s="80"/>
      <c r="C453" s="64"/>
      <c r="D453" s="135"/>
      <c r="E453" s="3"/>
      <c r="F453" s="139"/>
      <c r="G453" s="3"/>
      <c r="H453" s="4"/>
      <c r="I453" s="64"/>
      <c r="J453" s="3"/>
      <c r="K453" s="180"/>
      <c r="L453" s="64"/>
      <c r="M453" s="87" t="s">
        <v>616</v>
      </c>
      <c r="N453" s="3"/>
      <c r="O453" s="3">
        <f t="shared" si="107"/>
        <v>0</v>
      </c>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row>
    <row r="454" spans="1:43" ht="35.450000000000003" customHeight="1" thickBot="1">
      <c r="A454" s="72" t="s">
        <v>564</v>
      </c>
      <c r="B454" s="80"/>
      <c r="C454" s="64"/>
      <c r="D454" s="64"/>
      <c r="E454" s="64"/>
      <c r="F454" s="64"/>
      <c r="G454" s="64"/>
      <c r="H454" s="64"/>
      <c r="I454" s="64"/>
      <c r="J454" s="64"/>
      <c r="K454" s="63"/>
      <c r="L454" s="75"/>
      <c r="M454" s="87" t="s">
        <v>617</v>
      </c>
      <c r="N454" s="3"/>
      <c r="O454" s="3">
        <f t="shared" si="107"/>
        <v>0</v>
      </c>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row>
    <row r="455" spans="1:43" ht="35.450000000000003" customHeight="1" thickBot="1">
      <c r="A455" s="72" t="s">
        <v>564</v>
      </c>
      <c r="B455" s="80"/>
      <c r="C455" s="64"/>
      <c r="D455" s="64"/>
      <c r="E455" s="64"/>
      <c r="F455" s="64"/>
      <c r="G455" s="64"/>
      <c r="H455" s="64"/>
      <c r="I455" s="64"/>
      <c r="J455" s="64"/>
      <c r="K455" s="63"/>
      <c r="L455" s="75"/>
      <c r="M455" s="87" t="s">
        <v>618</v>
      </c>
      <c r="N455" s="3">
        <f>P455+R455+T455+V455</f>
        <v>0</v>
      </c>
      <c r="O455" s="3">
        <f t="shared" si="107"/>
        <v>0</v>
      </c>
      <c r="P455" s="3"/>
      <c r="Q455" s="3"/>
      <c r="R455" s="3"/>
      <c r="S455" s="3"/>
      <c r="T455" s="3"/>
      <c r="U455" s="3"/>
      <c r="V455" s="3"/>
      <c r="W455" s="3"/>
      <c r="X455" s="3">
        <f>Y455+Z455+AA455+AB455</f>
        <v>0</v>
      </c>
      <c r="Y455" s="3"/>
      <c r="Z455" s="3"/>
      <c r="AA455" s="3"/>
      <c r="AB455" s="3"/>
      <c r="AC455" s="3">
        <f>AD455+AE455+AF455+AG455</f>
        <v>0</v>
      </c>
      <c r="AD455" s="3"/>
      <c r="AE455" s="3"/>
      <c r="AF455" s="3"/>
      <c r="AG455" s="3"/>
      <c r="AH455" s="3">
        <f>AI455+AJ455+AK455+AL455</f>
        <v>0</v>
      </c>
      <c r="AI455" s="3"/>
      <c r="AJ455" s="3"/>
      <c r="AK455" s="3"/>
      <c r="AL455" s="3"/>
      <c r="AM455" s="3">
        <f>AN455+AO455+AP455+AQ455</f>
        <v>0</v>
      </c>
      <c r="AN455" s="3"/>
      <c r="AO455" s="3"/>
      <c r="AP455" s="3"/>
      <c r="AQ455" s="3"/>
    </row>
    <row r="456" spans="1:43" ht="35.450000000000003" customHeight="1" thickBot="1">
      <c r="A456" s="72" t="s">
        <v>564</v>
      </c>
      <c r="B456" s="80"/>
      <c r="C456" s="250"/>
      <c r="D456" s="251"/>
      <c r="E456" s="250"/>
      <c r="F456" s="252"/>
      <c r="G456" s="250"/>
      <c r="H456" s="253"/>
      <c r="I456" s="64"/>
      <c r="J456" s="64"/>
      <c r="K456" s="63"/>
      <c r="L456" s="75"/>
      <c r="M456" s="87" t="s">
        <v>619</v>
      </c>
      <c r="N456" s="3">
        <f>P456+R456+T456+V456</f>
        <v>0</v>
      </c>
      <c r="O456" s="3">
        <f t="shared" si="107"/>
        <v>0</v>
      </c>
      <c r="P456" s="3"/>
      <c r="Q456" s="3"/>
      <c r="R456" s="3"/>
      <c r="S456" s="3"/>
      <c r="T456" s="3"/>
      <c r="U456" s="3"/>
      <c r="V456" s="3"/>
      <c r="W456" s="3"/>
      <c r="X456" s="3">
        <f>Y456+Z456+AA456+AB456</f>
        <v>0</v>
      </c>
      <c r="Y456" s="3"/>
      <c r="Z456" s="3"/>
      <c r="AA456" s="3"/>
      <c r="AB456" s="3"/>
      <c r="AC456" s="3">
        <f>AD456+AE456+AF456+AG456</f>
        <v>0</v>
      </c>
      <c r="AD456" s="3"/>
      <c r="AE456" s="3"/>
      <c r="AF456" s="3"/>
      <c r="AG456" s="3"/>
      <c r="AH456" s="3"/>
      <c r="AI456" s="3"/>
      <c r="AJ456" s="3"/>
      <c r="AK456" s="3"/>
      <c r="AL456" s="3"/>
      <c r="AM456" s="3"/>
      <c r="AN456" s="3"/>
      <c r="AO456" s="3"/>
      <c r="AP456" s="3"/>
      <c r="AQ456" s="3"/>
    </row>
    <row r="457" spans="1:43" ht="35.450000000000003" customHeight="1" thickBot="1">
      <c r="A457" s="72" t="s">
        <v>564</v>
      </c>
      <c r="B457" s="80"/>
      <c r="C457" s="250"/>
      <c r="D457" s="251"/>
      <c r="E457" s="250"/>
      <c r="F457" s="64"/>
      <c r="G457" s="64"/>
      <c r="H457" s="247"/>
      <c r="I457" s="64"/>
      <c r="J457" s="64"/>
      <c r="K457" s="63"/>
      <c r="L457" s="75"/>
      <c r="M457" s="87" t="s">
        <v>620</v>
      </c>
      <c r="N457" s="3">
        <f>P457+R457+T457+V457</f>
        <v>0</v>
      </c>
      <c r="O457" s="3">
        <f t="shared" si="107"/>
        <v>0</v>
      </c>
      <c r="P457" s="3"/>
      <c r="Q457" s="3"/>
      <c r="R457" s="3"/>
      <c r="S457" s="3"/>
      <c r="T457" s="3"/>
      <c r="U457" s="3"/>
      <c r="V457" s="3"/>
      <c r="W457" s="3"/>
      <c r="X457" s="3">
        <f>Y457+Z457+AA457+AB457</f>
        <v>0</v>
      </c>
      <c r="Y457" s="3"/>
      <c r="Z457" s="3"/>
      <c r="AA457" s="3"/>
      <c r="AB457" s="3"/>
      <c r="AC457" s="3">
        <f>AD457+AE457+AF457+AG457</f>
        <v>0</v>
      </c>
      <c r="AD457" s="3"/>
      <c r="AE457" s="3"/>
      <c r="AF457" s="3"/>
      <c r="AG457" s="3"/>
      <c r="AH457" s="3"/>
      <c r="AI457" s="3"/>
      <c r="AJ457" s="3"/>
      <c r="AK457" s="3"/>
      <c r="AL457" s="3"/>
      <c r="AM457" s="3"/>
      <c r="AN457" s="3"/>
      <c r="AO457" s="3"/>
      <c r="AP457" s="3"/>
      <c r="AQ457" s="3"/>
    </row>
    <row r="458" spans="1:43" ht="35.450000000000003" customHeight="1" thickBot="1">
      <c r="A458" s="72" t="s">
        <v>564</v>
      </c>
      <c r="B458" s="80"/>
      <c r="C458" s="64"/>
      <c r="D458" s="64"/>
      <c r="E458" s="64"/>
      <c r="F458" s="64" t="s">
        <v>1266</v>
      </c>
      <c r="G458" s="64" t="s">
        <v>277</v>
      </c>
      <c r="H458" s="247">
        <v>45335</v>
      </c>
      <c r="I458" s="64" t="s">
        <v>602</v>
      </c>
      <c r="J458" s="64" t="s">
        <v>277</v>
      </c>
      <c r="K458" s="63" t="s">
        <v>603</v>
      </c>
      <c r="L458" s="75"/>
      <c r="M458" s="87" t="s">
        <v>621</v>
      </c>
      <c r="N458" s="3">
        <f>P458+R458+T458+V458</f>
        <v>250</v>
      </c>
      <c r="O458" s="3">
        <f t="shared" si="107"/>
        <v>211.4</v>
      </c>
      <c r="P458" s="3"/>
      <c r="Q458" s="3"/>
      <c r="R458" s="3"/>
      <c r="S458" s="3"/>
      <c r="T458" s="3"/>
      <c r="U458" s="3"/>
      <c r="V458" s="3">
        <f>38.4+211.6</f>
        <v>250</v>
      </c>
      <c r="W458" s="3">
        <v>211.4</v>
      </c>
      <c r="X458" s="3">
        <f>Y458+Z458+AA458+AB458</f>
        <v>6915.4000000000005</v>
      </c>
      <c r="Y458" s="3"/>
      <c r="Z458" s="3">
        <f>6292.1+384.8</f>
        <v>6676.9000000000005</v>
      </c>
      <c r="AA458" s="3"/>
      <c r="AB458" s="3">
        <f>1050+38.6-850.1</f>
        <v>238.49999999999989</v>
      </c>
      <c r="AC458" s="3">
        <f>AD458+AE458+AF458+AG458</f>
        <v>3500</v>
      </c>
      <c r="AD458" s="3"/>
      <c r="AE458" s="3">
        <v>3500</v>
      </c>
      <c r="AF458" s="3"/>
      <c r="AG458" s="3"/>
      <c r="AH458" s="3"/>
      <c r="AI458" s="3"/>
      <c r="AJ458" s="3"/>
      <c r="AK458" s="3"/>
      <c r="AL458" s="3"/>
      <c r="AM458" s="3"/>
      <c r="AN458" s="3"/>
      <c r="AO458" s="3"/>
      <c r="AP458" s="3"/>
      <c r="AQ458" s="3"/>
    </row>
    <row r="459" spans="1:43" ht="35.450000000000003" customHeight="1" thickBot="1">
      <c r="A459" s="72" t="s">
        <v>564</v>
      </c>
      <c r="B459" s="80"/>
      <c r="C459" s="250"/>
      <c r="D459" s="251"/>
      <c r="E459" s="250"/>
      <c r="F459" s="252"/>
      <c r="G459" s="250"/>
      <c r="H459" s="253"/>
      <c r="I459" s="254"/>
      <c r="J459" s="254"/>
      <c r="K459" s="254"/>
      <c r="L459" s="75"/>
      <c r="M459" s="87" t="s">
        <v>622</v>
      </c>
      <c r="N459" s="3"/>
      <c r="O459" s="3"/>
      <c r="P459" s="3"/>
      <c r="Q459" s="3"/>
      <c r="R459" s="3"/>
      <c r="S459" s="3"/>
      <c r="T459" s="3"/>
      <c r="U459" s="3"/>
      <c r="V459" s="3"/>
      <c r="W459" s="3"/>
      <c r="X459" s="3">
        <f>Y459+Z459+AA459+AB459</f>
        <v>722.6</v>
      </c>
      <c r="Y459" s="3"/>
      <c r="Z459" s="3">
        <v>722.6</v>
      </c>
      <c r="AA459" s="3"/>
      <c r="AB459" s="3"/>
      <c r="AC459" s="3"/>
      <c r="AD459" s="3"/>
      <c r="AE459" s="3"/>
      <c r="AF459" s="3"/>
      <c r="AG459" s="3"/>
      <c r="AH459" s="3"/>
      <c r="AI459" s="3"/>
      <c r="AJ459" s="3"/>
      <c r="AK459" s="3"/>
      <c r="AL459" s="3"/>
      <c r="AM459" s="3"/>
      <c r="AN459" s="3"/>
      <c r="AO459" s="3"/>
      <c r="AP459" s="3"/>
      <c r="AQ459" s="3"/>
    </row>
    <row r="460" spans="1:43" ht="35.450000000000003" customHeight="1" thickBot="1">
      <c r="A460" s="72" t="s">
        <v>564</v>
      </c>
      <c r="B460" s="80"/>
      <c r="C460" s="64"/>
      <c r="D460" s="64"/>
      <c r="E460" s="64"/>
      <c r="F460" s="64"/>
      <c r="G460" s="64"/>
      <c r="H460" s="64"/>
      <c r="I460" s="254"/>
      <c r="J460" s="254"/>
      <c r="K460" s="254"/>
      <c r="L460" s="75"/>
      <c r="M460" s="87" t="s">
        <v>623</v>
      </c>
      <c r="N460" s="3"/>
      <c r="O460" s="3">
        <f t="shared" si="107"/>
        <v>0</v>
      </c>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row>
    <row r="461" spans="1:43" ht="35.450000000000003" customHeight="1" thickBot="1">
      <c r="A461" s="72" t="s">
        <v>564</v>
      </c>
      <c r="B461" s="80"/>
      <c r="C461" s="64"/>
      <c r="D461" s="64"/>
      <c r="E461" s="64"/>
      <c r="F461" s="64"/>
      <c r="G461" s="64"/>
      <c r="H461" s="64"/>
      <c r="I461" s="64"/>
      <c r="J461" s="64"/>
      <c r="K461" s="63"/>
      <c r="L461" s="75"/>
      <c r="M461" s="87" t="s">
        <v>624</v>
      </c>
      <c r="N461" s="3"/>
      <c r="O461" s="3">
        <f t="shared" si="107"/>
        <v>0</v>
      </c>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row>
    <row r="462" spans="1:43" ht="35.450000000000003" customHeight="1" thickBot="1">
      <c r="A462" s="76" t="s">
        <v>625</v>
      </c>
      <c r="B462" s="217">
        <v>2535</v>
      </c>
      <c r="C462" s="78"/>
      <c r="D462" s="5"/>
      <c r="E462" s="5"/>
      <c r="F462" s="5"/>
      <c r="G462" s="5"/>
      <c r="H462" s="5"/>
      <c r="I462" s="5"/>
      <c r="J462" s="5"/>
      <c r="K462" s="5"/>
      <c r="L462" s="5">
        <v>11</v>
      </c>
      <c r="M462" s="244"/>
      <c r="N462" s="5">
        <f>N463+N464</f>
        <v>1806.9000000000003</v>
      </c>
      <c r="O462" s="5">
        <f t="shared" ref="O462:AQ462" si="112">O463+O464</f>
        <v>1806.9</v>
      </c>
      <c r="P462" s="5">
        <f t="shared" si="112"/>
        <v>0</v>
      </c>
      <c r="Q462" s="5">
        <f t="shared" si="112"/>
        <v>0</v>
      </c>
      <c r="R462" s="5">
        <f t="shared" si="112"/>
        <v>0</v>
      </c>
      <c r="S462" s="5">
        <f t="shared" si="112"/>
        <v>0</v>
      </c>
      <c r="T462" s="5">
        <f t="shared" si="112"/>
        <v>0</v>
      </c>
      <c r="U462" s="5">
        <f t="shared" si="112"/>
        <v>0</v>
      </c>
      <c r="V462" s="5">
        <f t="shared" si="112"/>
        <v>1806.9000000000003</v>
      </c>
      <c r="W462" s="5">
        <f t="shared" si="112"/>
        <v>1806.9</v>
      </c>
      <c r="X462" s="5">
        <f t="shared" si="112"/>
        <v>2106.1</v>
      </c>
      <c r="Y462" s="5">
        <f t="shared" si="112"/>
        <v>0</v>
      </c>
      <c r="Z462" s="5">
        <f t="shared" si="112"/>
        <v>0</v>
      </c>
      <c r="AA462" s="5">
        <f t="shared" si="112"/>
        <v>0</v>
      </c>
      <c r="AB462" s="5">
        <f t="shared" si="112"/>
        <v>2106.1</v>
      </c>
      <c r="AC462" s="5">
        <f t="shared" si="112"/>
        <v>1959.6</v>
      </c>
      <c r="AD462" s="5">
        <f t="shared" si="112"/>
        <v>0</v>
      </c>
      <c r="AE462" s="5">
        <f t="shared" si="112"/>
        <v>0</v>
      </c>
      <c r="AF462" s="5">
        <f t="shared" si="112"/>
        <v>0</v>
      </c>
      <c r="AG462" s="5">
        <f t="shared" si="112"/>
        <v>1959.6</v>
      </c>
      <c r="AH462" s="5">
        <f t="shared" si="112"/>
        <v>1959.6</v>
      </c>
      <c r="AI462" s="5">
        <f t="shared" si="112"/>
        <v>0</v>
      </c>
      <c r="AJ462" s="5">
        <f t="shared" si="112"/>
        <v>0</v>
      </c>
      <c r="AK462" s="5">
        <f t="shared" si="112"/>
        <v>0</v>
      </c>
      <c r="AL462" s="5">
        <f t="shared" si="112"/>
        <v>1959.6</v>
      </c>
      <c r="AM462" s="5">
        <f t="shared" si="112"/>
        <v>1959.6</v>
      </c>
      <c r="AN462" s="5">
        <f t="shared" si="112"/>
        <v>0</v>
      </c>
      <c r="AO462" s="5">
        <f t="shared" si="112"/>
        <v>0</v>
      </c>
      <c r="AP462" s="5">
        <f t="shared" si="112"/>
        <v>0</v>
      </c>
      <c r="AQ462" s="5">
        <f t="shared" si="112"/>
        <v>1959.6</v>
      </c>
    </row>
    <row r="463" spans="1:43" ht="35.450000000000003" customHeight="1" thickBot="1">
      <c r="A463" s="72" t="s">
        <v>626</v>
      </c>
      <c r="B463" s="80"/>
      <c r="C463" s="64" t="s">
        <v>442</v>
      </c>
      <c r="D463" s="64" t="s">
        <v>443</v>
      </c>
      <c r="E463" s="64" t="s">
        <v>444</v>
      </c>
      <c r="F463" s="64" t="s">
        <v>627</v>
      </c>
      <c r="G463" s="64" t="s">
        <v>277</v>
      </c>
      <c r="H463" s="64" t="s">
        <v>390</v>
      </c>
      <c r="I463" s="84" t="s">
        <v>290</v>
      </c>
      <c r="J463" s="64" t="s">
        <v>277</v>
      </c>
      <c r="K463" s="109"/>
      <c r="L463" s="3"/>
      <c r="M463" s="87" t="s">
        <v>628</v>
      </c>
      <c r="N463" s="3">
        <f>P463+R463+T463+V463</f>
        <v>0</v>
      </c>
      <c r="O463" s="3">
        <f>Q463+S463+U463+W463</f>
        <v>0</v>
      </c>
      <c r="P463" s="3"/>
      <c r="Q463" s="3"/>
      <c r="R463" s="3"/>
      <c r="S463" s="3"/>
      <c r="T463" s="3"/>
      <c r="U463" s="3"/>
      <c r="V463" s="3"/>
      <c r="W463" s="3"/>
      <c r="X463" s="3">
        <f>Y463+Z463+AA463+AB463</f>
        <v>0</v>
      </c>
      <c r="Y463" s="3"/>
      <c r="Z463" s="3"/>
      <c r="AA463" s="3"/>
      <c r="AB463" s="3"/>
      <c r="AC463" s="3">
        <f>AD463+AE463+AF463+AG463</f>
        <v>0</v>
      </c>
      <c r="AD463" s="3"/>
      <c r="AE463" s="3"/>
      <c r="AF463" s="3"/>
      <c r="AG463" s="3"/>
      <c r="AH463" s="3">
        <f>AI463+AJ463+AK463+AL463</f>
        <v>0</v>
      </c>
      <c r="AI463" s="3"/>
      <c r="AJ463" s="3"/>
      <c r="AK463" s="3"/>
      <c r="AL463" s="3"/>
      <c r="AM463" s="3">
        <f>AN463+AO463+AP463+AQ463</f>
        <v>0</v>
      </c>
      <c r="AN463" s="3"/>
      <c r="AO463" s="3"/>
      <c r="AP463" s="3"/>
      <c r="AQ463" s="3"/>
    </row>
    <row r="464" spans="1:43" ht="35.450000000000003" customHeight="1" thickBot="1">
      <c r="A464" s="72" t="s">
        <v>626</v>
      </c>
      <c r="B464" s="80"/>
      <c r="C464" s="84" t="s">
        <v>629</v>
      </c>
      <c r="D464" s="84" t="s">
        <v>489</v>
      </c>
      <c r="E464" s="84" t="s">
        <v>630</v>
      </c>
      <c r="F464" s="64"/>
      <c r="G464" s="64"/>
      <c r="H464" s="64"/>
      <c r="I464" s="64"/>
      <c r="J464" s="64"/>
      <c r="K464" s="63"/>
      <c r="L464" s="3"/>
      <c r="M464" s="87" t="s">
        <v>631</v>
      </c>
      <c r="N464" s="3">
        <f>P464+R464+T464+V464</f>
        <v>1806.9000000000003</v>
      </c>
      <c r="O464" s="3">
        <f>Q464+S464+U464+W464</f>
        <v>1806.9</v>
      </c>
      <c r="P464" s="3"/>
      <c r="Q464" s="3"/>
      <c r="R464" s="3"/>
      <c r="S464" s="3"/>
      <c r="T464" s="3"/>
      <c r="U464" s="3"/>
      <c r="V464" s="3">
        <f>500+700+241.7-0.1+665.5+0.1-300.3</f>
        <v>1806.9000000000003</v>
      </c>
      <c r="W464" s="3">
        <v>1806.9</v>
      </c>
      <c r="X464" s="3">
        <f>Y464+Z464+AA464+AB464</f>
        <v>2106.1</v>
      </c>
      <c r="Y464" s="3"/>
      <c r="Z464" s="3"/>
      <c r="AA464" s="3"/>
      <c r="AB464" s="3">
        <f>1591.7+346.4+168</f>
        <v>2106.1</v>
      </c>
      <c r="AC464" s="3">
        <f>AD464+AE464+AF464+AG464</f>
        <v>1959.6</v>
      </c>
      <c r="AD464" s="3"/>
      <c r="AE464" s="3"/>
      <c r="AF464" s="3"/>
      <c r="AG464" s="3">
        <v>1959.6</v>
      </c>
      <c r="AH464" s="3">
        <f>AI464+AJ464+AK464+AL464</f>
        <v>1959.6</v>
      </c>
      <c r="AI464" s="3"/>
      <c r="AJ464" s="3"/>
      <c r="AK464" s="3"/>
      <c r="AL464" s="3">
        <v>1959.6</v>
      </c>
      <c r="AM464" s="3">
        <f>AN464+AO464+AP464+AQ464</f>
        <v>1959.6</v>
      </c>
      <c r="AN464" s="3"/>
      <c r="AO464" s="3"/>
      <c r="AP464" s="3"/>
      <c r="AQ464" s="3">
        <v>1959.6</v>
      </c>
    </row>
    <row r="465" spans="1:43" ht="35.450000000000003" customHeight="1" thickBot="1">
      <c r="A465" s="76" t="s">
        <v>632</v>
      </c>
      <c r="B465" s="217">
        <v>2536</v>
      </c>
      <c r="C465" s="78"/>
      <c r="D465" s="5"/>
      <c r="E465" s="5"/>
      <c r="F465" s="5"/>
      <c r="G465" s="5"/>
      <c r="H465" s="5"/>
      <c r="I465" s="5"/>
      <c r="J465" s="5"/>
      <c r="K465" s="5"/>
      <c r="L465" s="5">
        <v>21</v>
      </c>
      <c r="M465" s="244"/>
      <c r="N465" s="5">
        <f t="shared" ref="N465:T465" si="113">N466+N467</f>
        <v>408.2</v>
      </c>
      <c r="O465" s="5">
        <f t="shared" si="113"/>
        <v>150</v>
      </c>
      <c r="P465" s="5">
        <f t="shared" si="113"/>
        <v>0</v>
      </c>
      <c r="Q465" s="5">
        <f t="shared" si="113"/>
        <v>0</v>
      </c>
      <c r="R465" s="5">
        <f t="shared" si="113"/>
        <v>408.2</v>
      </c>
      <c r="S465" s="5">
        <f t="shared" si="113"/>
        <v>150</v>
      </c>
      <c r="T465" s="5">
        <f t="shared" si="113"/>
        <v>0</v>
      </c>
      <c r="U465" s="5"/>
      <c r="V465" s="5">
        <f>V466+V467</f>
        <v>0</v>
      </c>
      <c r="W465" s="5"/>
      <c r="X465" s="5">
        <f>X466+X467</f>
        <v>408.1</v>
      </c>
      <c r="Y465" s="5">
        <f>Y466+Y467</f>
        <v>0</v>
      </c>
      <c r="Z465" s="5">
        <f>Z466+Z467</f>
        <v>408.1</v>
      </c>
      <c r="AA465" s="5">
        <f>AA466+AA467</f>
        <v>0</v>
      </c>
      <c r="AB465" s="5">
        <f>AB466+AB467</f>
        <v>0</v>
      </c>
      <c r="AC465" s="5">
        <f>AD465+AE465+AF465+AG465</f>
        <v>0</v>
      </c>
      <c r="AD465" s="5">
        <f>AE465+AF465+AG465+IE1260</f>
        <v>0</v>
      </c>
      <c r="AE465" s="5">
        <f>AF465+AG465+IE1260+IF1260</f>
        <v>0</v>
      </c>
      <c r="AF465" s="5">
        <f>AG465+IE1260+IF1260+IG1260</f>
        <v>0</v>
      </c>
      <c r="AG465" s="5">
        <f>IE1260+IF1260+IG1260+IH1260</f>
        <v>0</v>
      </c>
      <c r="AH465" s="5">
        <f>AI465+AJ465+AK465+AL465</f>
        <v>0</v>
      </c>
      <c r="AI465" s="5">
        <f>AJ465+AK465+AL465+EN465</f>
        <v>0</v>
      </c>
      <c r="AJ465" s="5">
        <f>AK465+AL465+EN465+EO465</f>
        <v>0</v>
      </c>
      <c r="AK465" s="5">
        <f>AL465+EN465+EO465+EP465</f>
        <v>0</v>
      </c>
      <c r="AL465" s="5">
        <f>EN465+EO465+EP465+EQ465</f>
        <v>0</v>
      </c>
      <c r="AM465" s="5">
        <f>AN465+AO465+AP465+AQ465</f>
        <v>0</v>
      </c>
      <c r="AN465" s="5">
        <f>AO465+AP465+AQ465+ES465</f>
        <v>0</v>
      </c>
      <c r="AO465" s="5">
        <f>AP465+AQ465+ES465+ET465</f>
        <v>0</v>
      </c>
      <c r="AP465" s="5">
        <f>AQ465+ES465+ET465+EU465</f>
        <v>0</v>
      </c>
      <c r="AQ465" s="5">
        <f>ES465+ET465+EU465+EV465</f>
        <v>0</v>
      </c>
    </row>
    <row r="466" spans="1:43" ht="35.450000000000003" customHeight="1" thickBot="1">
      <c r="A466" s="72" t="s">
        <v>243</v>
      </c>
      <c r="B466" s="80"/>
      <c r="C466" s="164" t="s">
        <v>191</v>
      </c>
      <c r="D466" s="164" t="s">
        <v>633</v>
      </c>
      <c r="E466" s="255" t="s">
        <v>271</v>
      </c>
      <c r="F466" s="164" t="s">
        <v>509</v>
      </c>
      <c r="G466" s="164" t="s">
        <v>634</v>
      </c>
      <c r="H466" s="164" t="s">
        <v>511</v>
      </c>
      <c r="I466" s="107" t="s">
        <v>21</v>
      </c>
      <c r="J466" s="107" t="s">
        <v>635</v>
      </c>
      <c r="K466" s="109" t="s">
        <v>23</v>
      </c>
      <c r="L466" s="3"/>
      <c r="M466" s="87" t="s">
        <v>636</v>
      </c>
      <c r="N466" s="3">
        <f>P466+R466+T466+V466</f>
        <v>408.2</v>
      </c>
      <c r="O466" s="3">
        <f>Q466+S466</f>
        <v>150</v>
      </c>
      <c r="P466" s="3"/>
      <c r="Q466" s="3"/>
      <c r="R466" s="3">
        <v>408.2</v>
      </c>
      <c r="S466" s="3">
        <v>150</v>
      </c>
      <c r="T466" s="3"/>
      <c r="U466" s="3"/>
      <c r="V466" s="3"/>
      <c r="W466" s="3"/>
      <c r="X466" s="3">
        <f>Y466+Z466+AA466+AB466</f>
        <v>0</v>
      </c>
      <c r="Y466" s="3"/>
      <c r="Z466" s="3"/>
      <c r="AA466" s="3"/>
      <c r="AB466" s="3"/>
      <c r="AC466" s="3">
        <f>AD466+AE466+AF466+AG466</f>
        <v>0</v>
      </c>
      <c r="AD466" s="3"/>
      <c r="AE466" s="3"/>
      <c r="AF466" s="3"/>
      <c r="AG466" s="3"/>
      <c r="AH466" s="3">
        <f>AI466+AJ466+AK466+AL466</f>
        <v>0</v>
      </c>
      <c r="AI466" s="3"/>
      <c r="AJ466" s="3"/>
      <c r="AK466" s="3"/>
      <c r="AL466" s="3"/>
      <c r="AM466" s="3">
        <f>AN466+AO466+AP466+AQ466</f>
        <v>0</v>
      </c>
      <c r="AN466" s="3"/>
      <c r="AO466" s="3"/>
      <c r="AP466" s="3"/>
      <c r="AQ466" s="3"/>
    </row>
    <row r="467" spans="1:43" ht="35.450000000000003" customHeight="1" thickBot="1">
      <c r="A467" s="72" t="s">
        <v>243</v>
      </c>
      <c r="B467" s="80"/>
      <c r="C467" s="256"/>
      <c r="D467" s="256"/>
      <c r="E467" s="257"/>
      <c r="F467" s="256"/>
      <c r="G467" s="256"/>
      <c r="H467" s="256"/>
      <c r="I467" s="154"/>
      <c r="J467" s="3"/>
      <c r="K467" s="3"/>
      <c r="L467" s="3"/>
      <c r="M467" s="87" t="s">
        <v>637</v>
      </c>
      <c r="N467" s="3">
        <f>P467+R467+T467+V467</f>
        <v>0</v>
      </c>
      <c r="O467" s="3">
        <f>Q467+S467</f>
        <v>0</v>
      </c>
      <c r="P467" s="3"/>
      <c r="Q467" s="3"/>
      <c r="R467" s="3"/>
      <c r="S467" s="3"/>
      <c r="T467" s="3"/>
      <c r="U467" s="3"/>
      <c r="V467" s="3"/>
      <c r="W467" s="3"/>
      <c r="X467" s="3">
        <f>Y467+Z467+AA467+AB467</f>
        <v>408.1</v>
      </c>
      <c r="Y467" s="3"/>
      <c r="Z467" s="3">
        <v>408.1</v>
      </c>
      <c r="AA467" s="3"/>
      <c r="AB467" s="3"/>
      <c r="AC467" s="3">
        <f>AD467+AE467+AF467+AG467</f>
        <v>0</v>
      </c>
      <c r="AD467" s="3"/>
      <c r="AE467" s="3"/>
      <c r="AF467" s="3"/>
      <c r="AG467" s="3"/>
      <c r="AH467" s="3">
        <f>AI467+AJ467+AK467+AL467</f>
        <v>0</v>
      </c>
      <c r="AI467" s="3"/>
      <c r="AJ467" s="3"/>
      <c r="AK467" s="3"/>
      <c r="AL467" s="3"/>
      <c r="AM467" s="3">
        <f>AN467+AO467+AP467+AQ467</f>
        <v>0</v>
      </c>
      <c r="AN467" s="3"/>
      <c r="AO467" s="3"/>
      <c r="AP467" s="3"/>
      <c r="AQ467" s="3"/>
    </row>
    <row r="468" spans="1:43" ht="35.450000000000003" customHeight="1" thickBot="1">
      <c r="A468" s="72" t="s">
        <v>638</v>
      </c>
      <c r="B468" s="80">
        <v>2537</v>
      </c>
      <c r="C468" s="71"/>
      <c r="D468" s="3"/>
      <c r="E468" s="3"/>
      <c r="F468" s="3"/>
      <c r="G468" s="3"/>
      <c r="H468" s="3"/>
      <c r="I468" s="3"/>
      <c r="J468" s="3"/>
      <c r="K468" s="3"/>
      <c r="L468" s="3">
        <v>1</v>
      </c>
      <c r="M468" s="87"/>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row>
    <row r="469" spans="1:43" ht="35.450000000000003" customHeight="1" thickBot="1">
      <c r="A469" s="76" t="s">
        <v>639</v>
      </c>
      <c r="B469" s="217">
        <v>2538</v>
      </c>
      <c r="C469" s="78"/>
      <c r="D469" s="5"/>
      <c r="E469" s="5"/>
      <c r="F469" s="5"/>
      <c r="G469" s="5"/>
      <c r="H469" s="5"/>
      <c r="I469" s="5"/>
      <c r="J469" s="5"/>
      <c r="K469" s="5"/>
      <c r="L469" s="5">
        <v>21</v>
      </c>
      <c r="M469" s="244"/>
      <c r="N469" s="5">
        <f t="shared" ref="N469:AQ469" si="114">N471</f>
        <v>3100</v>
      </c>
      <c r="O469" s="5">
        <f t="shared" si="114"/>
        <v>2890</v>
      </c>
      <c r="P469" s="5">
        <f t="shared" si="114"/>
        <v>0</v>
      </c>
      <c r="Q469" s="5">
        <f t="shared" si="114"/>
        <v>0</v>
      </c>
      <c r="R469" s="5">
        <f t="shared" si="114"/>
        <v>0</v>
      </c>
      <c r="S469" s="5">
        <f t="shared" si="114"/>
        <v>0</v>
      </c>
      <c r="T469" s="5">
        <f t="shared" si="114"/>
        <v>0</v>
      </c>
      <c r="U469" s="5">
        <f t="shared" si="114"/>
        <v>0</v>
      </c>
      <c r="V469" s="5">
        <f t="shared" si="114"/>
        <v>3100</v>
      </c>
      <c r="W469" s="5">
        <f t="shared" si="114"/>
        <v>2890</v>
      </c>
      <c r="X469" s="5">
        <f t="shared" si="114"/>
        <v>2500</v>
      </c>
      <c r="Y469" s="5">
        <f t="shared" si="114"/>
        <v>0</v>
      </c>
      <c r="Z469" s="5">
        <f t="shared" si="114"/>
        <v>0</v>
      </c>
      <c r="AA469" s="5">
        <f t="shared" si="114"/>
        <v>0</v>
      </c>
      <c r="AB469" s="5">
        <f t="shared" si="114"/>
        <v>2500</v>
      </c>
      <c r="AC469" s="5">
        <f t="shared" si="114"/>
        <v>3515.7</v>
      </c>
      <c r="AD469" s="5">
        <f t="shared" si="114"/>
        <v>0</v>
      </c>
      <c r="AE469" s="5">
        <f t="shared" si="114"/>
        <v>0</v>
      </c>
      <c r="AF469" s="5">
        <f t="shared" si="114"/>
        <v>0</v>
      </c>
      <c r="AG469" s="5">
        <f t="shared" si="114"/>
        <v>3515.7</v>
      </c>
      <c r="AH469" s="5">
        <f t="shared" si="114"/>
        <v>3515.7</v>
      </c>
      <c r="AI469" s="5">
        <f t="shared" si="114"/>
        <v>0</v>
      </c>
      <c r="AJ469" s="5">
        <f t="shared" si="114"/>
        <v>0</v>
      </c>
      <c r="AK469" s="5">
        <f t="shared" si="114"/>
        <v>0</v>
      </c>
      <c r="AL469" s="5">
        <f t="shared" si="114"/>
        <v>3515.7</v>
      </c>
      <c r="AM469" s="5">
        <f t="shared" si="114"/>
        <v>3515.7</v>
      </c>
      <c r="AN469" s="5">
        <f t="shared" si="114"/>
        <v>0</v>
      </c>
      <c r="AO469" s="5">
        <f t="shared" si="114"/>
        <v>0</v>
      </c>
      <c r="AP469" s="5">
        <f t="shared" si="114"/>
        <v>0</v>
      </c>
      <c r="AQ469" s="5">
        <f t="shared" si="114"/>
        <v>3515.7</v>
      </c>
    </row>
    <row r="470" spans="1:43" ht="35.450000000000003" customHeight="1" thickBot="1">
      <c r="A470" s="72" t="s">
        <v>243</v>
      </c>
      <c r="B470" s="217"/>
      <c r="C470" s="84" t="s">
        <v>640</v>
      </c>
      <c r="D470" s="84" t="s">
        <v>641</v>
      </c>
      <c r="E470" s="84" t="s">
        <v>642</v>
      </c>
      <c r="F470" s="84" t="s">
        <v>643</v>
      </c>
      <c r="G470" s="84" t="s">
        <v>19</v>
      </c>
      <c r="H470" s="84" t="s">
        <v>644</v>
      </c>
      <c r="I470" s="107" t="s">
        <v>21</v>
      </c>
      <c r="J470" s="107" t="s">
        <v>645</v>
      </c>
      <c r="K470" s="109" t="s">
        <v>23</v>
      </c>
      <c r="L470" s="5"/>
      <c r="M470" s="244"/>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row>
    <row r="471" spans="1:43" ht="35.450000000000003" customHeight="1" thickBot="1">
      <c r="A471" s="72" t="s">
        <v>243</v>
      </c>
      <c r="B471" s="80"/>
      <c r="C471" s="84" t="s">
        <v>191</v>
      </c>
      <c r="D471" s="84" t="s">
        <v>646</v>
      </c>
      <c r="E471" s="192" t="s">
        <v>271</v>
      </c>
      <c r="I471" s="258"/>
      <c r="J471" s="259"/>
      <c r="K471" s="158"/>
      <c r="L471" s="3"/>
      <c r="M471" s="87" t="s">
        <v>647</v>
      </c>
      <c r="N471" s="3">
        <f>P471+R471++T471+V471</f>
        <v>3100</v>
      </c>
      <c r="O471" s="3">
        <f>Q471+S471+U471+W471</f>
        <v>2890</v>
      </c>
      <c r="P471" s="3"/>
      <c r="Q471" s="3"/>
      <c r="R471" s="3"/>
      <c r="S471" s="3"/>
      <c r="T471" s="3"/>
      <c r="U471" s="3"/>
      <c r="V471" s="3">
        <f>2000+100+1000</f>
        <v>3100</v>
      </c>
      <c r="W471" s="3">
        <v>2890</v>
      </c>
      <c r="X471" s="3">
        <f>Y471+Z471++AA471+AB471</f>
        <v>2500</v>
      </c>
      <c r="Y471" s="3"/>
      <c r="Z471" s="3"/>
      <c r="AA471" s="3"/>
      <c r="AB471" s="3">
        <v>2500</v>
      </c>
      <c r="AC471" s="3">
        <f>AD471+AE471++AF471+AG471</f>
        <v>3515.7</v>
      </c>
      <c r="AD471" s="3"/>
      <c r="AE471" s="3"/>
      <c r="AF471" s="3"/>
      <c r="AG471" s="3">
        <v>3515.7</v>
      </c>
      <c r="AH471" s="3">
        <f>AI471+AJ471+AK471+AL471</f>
        <v>3515.7</v>
      </c>
      <c r="AI471" s="3"/>
      <c r="AJ471" s="3"/>
      <c r="AK471" s="3"/>
      <c r="AL471" s="3">
        <v>3515.7</v>
      </c>
      <c r="AM471" s="3">
        <f>AN471+AO471+AP471+AQ471</f>
        <v>3515.7</v>
      </c>
      <c r="AN471" s="3"/>
      <c r="AO471" s="3"/>
      <c r="AP471" s="3"/>
      <c r="AQ471" s="3">
        <v>3515.7</v>
      </c>
    </row>
    <row r="472" spans="1:43" ht="35.450000000000003" customHeight="1" thickBot="1">
      <c r="A472" s="76" t="s">
        <v>648</v>
      </c>
      <c r="B472" s="77">
        <v>2539</v>
      </c>
      <c r="C472" s="78"/>
      <c r="D472" s="5"/>
      <c r="E472" s="5"/>
      <c r="F472" s="5"/>
      <c r="G472" s="5"/>
      <c r="H472" s="5"/>
      <c r="I472" s="5"/>
      <c r="J472" s="5"/>
      <c r="K472" s="5"/>
      <c r="L472" s="5">
        <v>19</v>
      </c>
      <c r="M472" s="244"/>
      <c r="N472" s="5">
        <f>N473</f>
        <v>4910.8</v>
      </c>
      <c r="O472" s="5">
        <f t="shared" ref="O472:AQ472" si="115">O473</f>
        <v>4611.8</v>
      </c>
      <c r="P472" s="5">
        <f t="shared" si="115"/>
        <v>0</v>
      </c>
      <c r="Q472" s="5">
        <f t="shared" si="115"/>
        <v>0</v>
      </c>
      <c r="R472" s="5">
        <f t="shared" si="115"/>
        <v>0</v>
      </c>
      <c r="S472" s="5">
        <f t="shared" si="115"/>
        <v>0</v>
      </c>
      <c r="T472" s="5">
        <f t="shared" si="115"/>
        <v>0</v>
      </c>
      <c r="U472" s="5">
        <f t="shared" si="115"/>
        <v>0</v>
      </c>
      <c r="V472" s="5">
        <f t="shared" si="115"/>
        <v>4910.8</v>
      </c>
      <c r="W472" s="5">
        <f t="shared" si="115"/>
        <v>4611.8</v>
      </c>
      <c r="X472" s="5">
        <f t="shared" si="115"/>
        <v>1478.9</v>
      </c>
      <c r="Y472" s="5">
        <f t="shared" si="115"/>
        <v>0</v>
      </c>
      <c r="Z472" s="5">
        <f t="shared" si="115"/>
        <v>0</v>
      </c>
      <c r="AA472" s="5">
        <f t="shared" si="115"/>
        <v>0</v>
      </c>
      <c r="AB472" s="5">
        <f t="shared" si="115"/>
        <v>1478.9</v>
      </c>
      <c r="AC472" s="5">
        <f t="shared" si="115"/>
        <v>2000</v>
      </c>
      <c r="AD472" s="5">
        <f t="shared" si="115"/>
        <v>0</v>
      </c>
      <c r="AE472" s="5">
        <f t="shared" si="115"/>
        <v>0</v>
      </c>
      <c r="AF472" s="5">
        <f t="shared" si="115"/>
        <v>0</v>
      </c>
      <c r="AG472" s="5">
        <f t="shared" si="115"/>
        <v>2000</v>
      </c>
      <c r="AH472" s="5">
        <f t="shared" si="115"/>
        <v>4813.5</v>
      </c>
      <c r="AI472" s="5">
        <f t="shared" si="115"/>
        <v>0</v>
      </c>
      <c r="AJ472" s="5">
        <f t="shared" si="115"/>
        <v>0</v>
      </c>
      <c r="AK472" s="5">
        <f t="shared" si="115"/>
        <v>0</v>
      </c>
      <c r="AL472" s="5">
        <f t="shared" si="115"/>
        <v>4813.5</v>
      </c>
      <c r="AM472" s="5">
        <f t="shared" si="115"/>
        <v>4813.5</v>
      </c>
      <c r="AN472" s="5">
        <f t="shared" si="115"/>
        <v>0</v>
      </c>
      <c r="AO472" s="5">
        <f t="shared" si="115"/>
        <v>0</v>
      </c>
      <c r="AP472" s="5">
        <f t="shared" si="115"/>
        <v>0</v>
      </c>
      <c r="AQ472" s="5">
        <f t="shared" si="115"/>
        <v>4813.5</v>
      </c>
    </row>
    <row r="473" spans="1:43" ht="35.450000000000003" customHeight="1" thickBot="1">
      <c r="A473" s="72" t="s">
        <v>243</v>
      </c>
      <c r="B473" s="104"/>
      <c r="C473" s="84" t="s">
        <v>191</v>
      </c>
      <c r="D473" s="84" t="s">
        <v>649</v>
      </c>
      <c r="E473" s="192" t="s">
        <v>271</v>
      </c>
      <c r="F473" s="84" t="s">
        <v>650</v>
      </c>
      <c r="G473" s="84" t="s">
        <v>19</v>
      </c>
      <c r="H473" s="84" t="s">
        <v>651</v>
      </c>
      <c r="I473" s="107" t="s">
        <v>21</v>
      </c>
      <c r="J473" s="107" t="s">
        <v>652</v>
      </c>
      <c r="K473" s="109" t="s">
        <v>23</v>
      </c>
      <c r="L473" s="3"/>
      <c r="M473" s="87" t="s">
        <v>653</v>
      </c>
      <c r="N473" s="3">
        <f>P473+R473++T473+V473</f>
        <v>4910.8</v>
      </c>
      <c r="O473" s="3">
        <f>Q473+S473+U473+W473</f>
        <v>4611.8</v>
      </c>
      <c r="P473" s="3"/>
      <c r="Q473" s="3"/>
      <c r="R473" s="3"/>
      <c r="S473" s="3"/>
      <c r="T473" s="3"/>
      <c r="U473" s="3"/>
      <c r="V473" s="3">
        <f>1400+600+1200+609.1+489.7+153+459</f>
        <v>4910.8</v>
      </c>
      <c r="W473" s="3">
        <v>4611.8</v>
      </c>
      <c r="X473" s="3">
        <f>Y473+Z473++AA473+AB473</f>
        <v>1478.9</v>
      </c>
      <c r="Y473" s="3"/>
      <c r="Z473" s="3"/>
      <c r="AA473" s="3"/>
      <c r="AB473" s="3">
        <f>3000-1521.1</f>
        <v>1478.9</v>
      </c>
      <c r="AC473" s="3">
        <f>AD473+AE473++AF473+AG473</f>
        <v>2000</v>
      </c>
      <c r="AD473" s="3"/>
      <c r="AE473" s="3"/>
      <c r="AF473" s="3"/>
      <c r="AG473" s="3">
        <f>4813.5-2813.5</f>
        <v>2000</v>
      </c>
      <c r="AH473" s="3">
        <f>AI473+AJ473+AK473+AL473</f>
        <v>4813.5</v>
      </c>
      <c r="AI473" s="3"/>
      <c r="AJ473" s="3"/>
      <c r="AK473" s="3"/>
      <c r="AL473" s="3">
        <v>4813.5</v>
      </c>
      <c r="AM473" s="3">
        <f>AN473+AO473+AP473+AQ473</f>
        <v>4813.5</v>
      </c>
      <c r="AN473" s="3"/>
      <c r="AO473" s="3"/>
      <c r="AP473" s="3"/>
      <c r="AQ473" s="3">
        <v>4813.5</v>
      </c>
    </row>
    <row r="474" spans="1:43" ht="35.450000000000003" customHeight="1" thickBot="1">
      <c r="A474" s="72" t="s">
        <v>243</v>
      </c>
      <c r="B474" s="104"/>
      <c r="C474" s="84" t="s">
        <v>654</v>
      </c>
      <c r="D474" s="84" t="s">
        <v>655</v>
      </c>
      <c r="E474" s="84" t="s">
        <v>656</v>
      </c>
      <c r="F474" s="84"/>
      <c r="G474" s="84"/>
      <c r="H474" s="84"/>
      <c r="I474" s="85"/>
      <c r="J474" s="85"/>
      <c r="K474" s="86"/>
      <c r="L474" s="3"/>
      <c r="M474" s="87"/>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row>
    <row r="475" spans="1:43" ht="35.450000000000003" customHeight="1" thickBot="1">
      <c r="A475" s="72" t="s">
        <v>243</v>
      </c>
      <c r="B475" s="104"/>
      <c r="C475" s="84" t="s">
        <v>657</v>
      </c>
      <c r="D475" s="84" t="s">
        <v>658</v>
      </c>
      <c r="E475" s="84" t="s">
        <v>659</v>
      </c>
      <c r="F475" s="84"/>
      <c r="G475" s="84"/>
      <c r="H475" s="84"/>
      <c r="I475" s="260"/>
      <c r="J475" s="3"/>
      <c r="K475" s="3"/>
      <c r="L475" s="3"/>
      <c r="M475" s="87"/>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row>
    <row r="476" spans="1:43" ht="35.450000000000003" customHeight="1" thickBot="1">
      <c r="A476" s="76" t="s">
        <v>660</v>
      </c>
      <c r="B476" s="77">
        <v>2540</v>
      </c>
      <c r="C476" s="78"/>
      <c r="D476" s="5"/>
      <c r="E476" s="5"/>
      <c r="F476" s="5"/>
      <c r="G476" s="5"/>
      <c r="H476" s="5"/>
      <c r="I476" s="5"/>
      <c r="J476" s="5"/>
      <c r="K476" s="5"/>
      <c r="L476" s="5">
        <v>21</v>
      </c>
      <c r="M476" s="244"/>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row>
    <row r="477" spans="1:43" ht="35.450000000000003" customHeight="1" thickBot="1">
      <c r="A477" s="76" t="s">
        <v>661</v>
      </c>
      <c r="B477" s="77">
        <v>2541</v>
      </c>
      <c r="C477" s="78"/>
      <c r="D477" s="5"/>
      <c r="E477" s="5"/>
      <c r="F477" s="5"/>
      <c r="G477" s="5"/>
      <c r="H477" s="5"/>
      <c r="I477" s="5"/>
      <c r="J477" s="5"/>
      <c r="K477" s="5"/>
      <c r="L477" s="5">
        <v>21</v>
      </c>
      <c r="M477" s="244"/>
      <c r="N477" s="126">
        <f>N478+N482+N483+N485+N486+N487+N488+N489+N490+N492+N493+N494+N495+N500+N502+N515+N518+N519+N520+N525+N531+N532+N540+N541+N542+N546+N547+N548+N559+N560+N561+N562+N563+N564+N497+N501+N516+N521+N522+N535+N549+N558+N484+N536+N537+N538+N534+N569+N543+N544+N555+N556+N557+N566+N567+N570+N565+N571+N480+N509+N526+N550+N539+N503+N505+N506+N499+N504+N517+N508+N498+N496+N523+N524+N528+N530+N545+N479+N529+N514+N533</f>
        <v>194247</v>
      </c>
      <c r="O477" s="126">
        <f t="shared" ref="O477:W477" si="116">O478+O482+O483+O485+O486+O487+O488+O489+O490+O492+O493+O494+O495+O500+O502+O515+O518+O519+O520+O525+O531+O532+O540+O541+O542+O546+O547+O548+O559+O560+O561+O562+O563+O564+O497+O501+O516+O521+O522+O535+O549+O558+O484+O536+O537+O538+O534+O569+O543+O544+O555+O556+O557+O566+O567+O570+O565+O571+O480+O509+O526+O550+O539+O503+O505+O506+O499+O504+O517+O508+O498+O496+O523+O524+O528+O530+O545+O479+O529+O514+O533</f>
        <v>180918.30000000005</v>
      </c>
      <c r="P477" s="126">
        <f t="shared" si="116"/>
        <v>15035.8</v>
      </c>
      <c r="Q477" s="126">
        <f t="shared" si="116"/>
        <v>15035.8</v>
      </c>
      <c r="R477" s="126">
        <f t="shared" si="116"/>
        <v>130986.79999999999</v>
      </c>
      <c r="S477" s="126">
        <f t="shared" si="116"/>
        <v>121573.2</v>
      </c>
      <c r="T477" s="126">
        <f t="shared" si="116"/>
        <v>0</v>
      </c>
      <c r="U477" s="126">
        <f t="shared" si="116"/>
        <v>0</v>
      </c>
      <c r="V477" s="126">
        <f t="shared" si="116"/>
        <v>48224.399999999994</v>
      </c>
      <c r="W477" s="126">
        <f t="shared" si="116"/>
        <v>44309.3</v>
      </c>
      <c r="X477" s="126">
        <f>X478+X482+X483+X485+X486+X487+X488+X489+X490+X492+X493+X494+X495+X500+X502+X515+X518+X519+X520+X525+X531+X532+X540+X541+X542+X546+X547+X548+X559+X560+X561+X562+X563+X564+X497+X501+X516+X521+X522+X535+X549+X558+X484+X536+X537+X538+X534+X569+X543+X544+X555+X556+X557+X566+X567+X570+X565+X571+X480+X509+X526+X550+X539+X503+X505+X506+X499+X504+X517+X508+X498+X496+X523+X524+X545+X529+X479</f>
        <v>189860.90000000002</v>
      </c>
      <c r="Y477" s="126">
        <f>Y478+Y482+Y483+Y485+Y486+Y487+Y488+Y489+Y490+Y492+Y493+Y494+Y495+Y500+Y502+Y515+Y518+Y519+Y520+Y525+Y531+Y532+Y540+Y541+Y542+Y546+Y547+Y548+Y559+Y560+Y561+Y562+Y563+Y564+Y497+Y501+Y516+Y521+Y522+Y535+Y549+Y558+Y484+Y536+Y537+Y538+Y534+Y569+Y543+Y544+Y555+Y556+Y557+Y566+Y567+Y570+Y565+Y571+Y480+Y509+Y526+Y550+Y539+Y503+Y505+Y506+Y499+Y504+Y517+Y508+Y498+Y496+Y523+Y524+Y545+Y529+Y479</f>
        <v>15158.7</v>
      </c>
      <c r="Z477" s="126">
        <f>Z478+Z482+Z483+Z485+Z486+Z487+Z488+Z489+Z490+Z492+Z493+Z494+Z495+Z500+Z502+Z515+Z518+Z519+Z520+Z525+Z531+Z532+Z540+Z541+Z542+Z546+Z547+Z548+Z559+Z560+Z561+Z562+Z563+Z564+Z497+Z501+Z516+Z521+Z522+Z535+Z549+Z558+Z484+Z536+Z537+Z538+Z534+Z569+Z543+Z544+Z555+Z556+Z557+Z566+Z567+Z570+Z565+Z571+Z480+Z509+Z526+Z550+Z539+Z503+Z505+Z506+Z499+Z504+Z517+Z508+Z498+Z496+Z523+Z524+Z545+Z529+Z479</f>
        <v>108867.6</v>
      </c>
      <c r="AA477" s="126">
        <f>AA478+AA482+AA483+AA485+AA486+AA487+AA488+AA489+AA490+AA492+AA493+AA494+AA495+AA500+AA502+AA515+AA518+AA519+AA520+AA525+AA531+AA532+AA540+AA541+AA542+AA546+AA547+AA548+AA559+AA560+AA561+AA562+AA563+AA564+AA497+AA501+AA516+AA521+AA522+AA535+AA549+AA558+AA484+AA536+AA537+AA538+AA534+AA569+AA543+AA544+AA555+AA556+AA557+AA566+AA567+AA570+AA565+AA571+AA480+AA509+AA526+AA550+AA539+AA503+AA505+AA506+AA499+AA504+AA517+AA508+AA498+AA496+AA523+AA524+AA545+AA529+AA479</f>
        <v>0</v>
      </c>
      <c r="AB477" s="126">
        <f>AB478+AB482+AB483+AB485+AB486+AB487+AB488+AB489+AB490+AB492+AB493+AB494+AB495+AB500+AB502+AB515+AB518+AB519+AB520+AB525+AB531+AB532+AB540+AB541+AB542+AB546+AB547+AB548+AB559+AB560+AB561+AB562+AB563+AB564+AB497+AB501+AB516+AB521+AB522+AB535+AB549+AB558+AB484+AB536+AB537+AB538+AB534+AB569+AB543+AB544+AB555+AB556+AB557+AB566+AB567+AB570+AB565+AB571+AB480+AB509+AB526+AB550+AB539+AB503+AB505+AB506+AB499+AB504+AB517+AB508+AB498+AB496+AB523+AB524+AB545+AB529+AB479</f>
        <v>65834.600000000006</v>
      </c>
      <c r="AC477" s="126">
        <f t="shared" ref="AC477:AQ477" si="117">AC478+AC482+AC483+AC485+AC486+AC487+AC488+AC489+AC490+AC492+AC493+AC494+AC495+AC500+AC502+AC515+AC518+AC519+AC520+AC525+AC531+AC532+AC540+AC541+AC542+AC546+AC547+AC548+AC559+AC560+AC561+AC562+AC563+AC564+AC497+AC501+AC516+AC521+AC522+AC535+AC549+AC558+AC484+AC536+AC537+AC538+AC534+AC569+AC543+AC544+AC555+AC556+AC557+AC566+AC567+AC570+AC565+AC571+AC480+AC509+AC526+AC550+AC539+AC503+AC505+AC506+AC499+AC504+AC517+AC508+AC498+AC496+AC523+AC524+AC545+AC529</f>
        <v>59375.8</v>
      </c>
      <c r="AD477" s="126">
        <f t="shared" si="117"/>
        <v>14016</v>
      </c>
      <c r="AE477" s="126">
        <f t="shared" si="117"/>
        <v>1557.3</v>
      </c>
      <c r="AF477" s="126">
        <f t="shared" si="117"/>
        <v>0</v>
      </c>
      <c r="AG477" s="126">
        <f t="shared" si="117"/>
        <v>43802.5</v>
      </c>
      <c r="AH477" s="126">
        <f t="shared" si="117"/>
        <v>55912.399999999994</v>
      </c>
      <c r="AI477" s="126">
        <f t="shared" si="117"/>
        <v>12859.2</v>
      </c>
      <c r="AJ477" s="126">
        <f t="shared" si="117"/>
        <v>2093.4</v>
      </c>
      <c r="AK477" s="126">
        <f t="shared" si="117"/>
        <v>0</v>
      </c>
      <c r="AL477" s="126">
        <f t="shared" si="117"/>
        <v>40959.800000000003</v>
      </c>
      <c r="AM477" s="126">
        <f t="shared" si="117"/>
        <v>55912.399999999994</v>
      </c>
      <c r="AN477" s="126">
        <f t="shared" si="117"/>
        <v>12859.2</v>
      </c>
      <c r="AO477" s="126">
        <f t="shared" si="117"/>
        <v>2093.4</v>
      </c>
      <c r="AP477" s="126">
        <f t="shared" si="117"/>
        <v>0</v>
      </c>
      <c r="AQ477" s="126">
        <f t="shared" si="117"/>
        <v>40959.800000000003</v>
      </c>
    </row>
    <row r="478" spans="1:43" ht="35.450000000000003" customHeight="1" thickBot="1">
      <c r="A478" s="72" t="s">
        <v>65</v>
      </c>
      <c r="B478" s="104"/>
      <c r="C478" s="105" t="s">
        <v>15</v>
      </c>
      <c r="D478" s="147" t="s">
        <v>110</v>
      </c>
      <c r="E478" s="106" t="s">
        <v>111</v>
      </c>
      <c r="F478" s="64" t="s">
        <v>627</v>
      </c>
      <c r="G478" s="75" t="s">
        <v>277</v>
      </c>
      <c r="H478" s="64" t="s">
        <v>390</v>
      </c>
      <c r="I478" s="85" t="s">
        <v>21</v>
      </c>
      <c r="J478" s="85" t="s">
        <v>662</v>
      </c>
      <c r="K478" s="86" t="s">
        <v>23</v>
      </c>
      <c r="L478" s="3"/>
      <c r="M478" s="87" t="s">
        <v>663</v>
      </c>
      <c r="N478" s="3">
        <f>P478+R478+T478+V478</f>
        <v>0</v>
      </c>
      <c r="O478" s="3">
        <f>Q478+S478+U478+W478</f>
        <v>0</v>
      </c>
      <c r="P478" s="3">
        <f>R478+T478+V478+SE1270</f>
        <v>0</v>
      </c>
      <c r="Q478" s="3"/>
      <c r="R478" s="3">
        <f>T478+V478+SE1270+SF1270</f>
        <v>0</v>
      </c>
      <c r="S478" s="3"/>
      <c r="T478" s="3">
        <f>V478+SE1270+SF1270+SG1270</f>
        <v>0</v>
      </c>
      <c r="U478" s="3"/>
      <c r="V478" s="3">
        <f>SE1270+SF1270+SG1270+SH1270</f>
        <v>0</v>
      </c>
      <c r="W478" s="3"/>
      <c r="X478" s="3">
        <f>Y478+Z478+AA478+AB478</f>
        <v>0</v>
      </c>
      <c r="Y478" s="3">
        <f>Z478+AA478+AB478+LL1270</f>
        <v>0</v>
      </c>
      <c r="Z478" s="3">
        <f>AA478+AB478+LL1270+LM1270</f>
        <v>0</v>
      </c>
      <c r="AA478" s="3">
        <f>AB478+LL1270+LM1270+LN1270</f>
        <v>0</v>
      </c>
      <c r="AB478" s="3">
        <f>LL1270+LM1270+LN1270+LO1270</f>
        <v>0</v>
      </c>
      <c r="AC478" s="3">
        <f>AD478+AE478+AF478+AG478</f>
        <v>0</v>
      </c>
      <c r="AD478" s="3">
        <f>AE478+AF478+AG478+IE1270</f>
        <v>0</v>
      </c>
      <c r="AE478" s="3">
        <f>AF478+AG478+IE1270+IF1270</f>
        <v>0</v>
      </c>
      <c r="AF478" s="3">
        <f>AG478+IE1270+IF1270+IG1270</f>
        <v>0</v>
      </c>
      <c r="AG478" s="3">
        <f>IE1270+IF1270+IG1270+IH1270</f>
        <v>0</v>
      </c>
      <c r="AH478" s="3">
        <f t="shared" ref="AH478:AH569" si="118">AI478+AJ478+AK478+AL478</f>
        <v>0</v>
      </c>
      <c r="AI478" s="3">
        <f>AJ478+AK478+AL478+EN478</f>
        <v>0</v>
      </c>
      <c r="AJ478" s="3">
        <f>AK478+AL478+EN478+EO478</f>
        <v>0</v>
      </c>
      <c r="AK478" s="3">
        <f>AL478+EN478+EO478+EP478</f>
        <v>0</v>
      </c>
      <c r="AL478" s="3">
        <f>EN478+EO478+EP478+EQ478</f>
        <v>0</v>
      </c>
      <c r="AM478" s="3">
        <f t="shared" ref="AM478:AM569" si="119">AN478+AO478+AP478+AQ478</f>
        <v>0</v>
      </c>
      <c r="AN478" s="3">
        <f>AO478+AP478+AQ478+ES478</f>
        <v>0</v>
      </c>
      <c r="AO478" s="3">
        <f>AP478+AQ478+ES478+ET478</f>
        <v>0</v>
      </c>
      <c r="AP478" s="3">
        <f>AQ478+ES478+ET478+EU478</f>
        <v>0</v>
      </c>
      <c r="AQ478" s="3">
        <f>ES478+ET478+EU478+EV478</f>
        <v>0</v>
      </c>
    </row>
    <row r="479" spans="1:43" ht="35.450000000000003" customHeight="1" thickBot="1">
      <c r="A479" s="72" t="s">
        <v>65</v>
      </c>
      <c r="B479" s="104"/>
      <c r="C479" s="110"/>
      <c r="D479" s="151"/>
      <c r="E479" s="111"/>
      <c r="F479" s="3"/>
      <c r="G479" s="3"/>
      <c r="H479" s="3"/>
      <c r="I479" s="4"/>
      <c r="J479" s="3"/>
      <c r="K479" s="3"/>
      <c r="L479" s="3"/>
      <c r="M479" s="87" t="s">
        <v>664</v>
      </c>
      <c r="N479" s="3">
        <f>P479+R479+T479+V479</f>
        <v>1500</v>
      </c>
      <c r="O479" s="3">
        <f t="shared" ref="O479:O543" si="120">Q479+S479+U479+W479</f>
        <v>1500</v>
      </c>
      <c r="P479" s="3"/>
      <c r="Q479" s="3"/>
      <c r="R479" s="3">
        <v>1500</v>
      </c>
      <c r="S479" s="3">
        <v>1500</v>
      </c>
      <c r="T479" s="3"/>
      <c r="U479" s="3"/>
      <c r="V479" s="3"/>
      <c r="W479" s="3"/>
      <c r="X479" s="3">
        <f>Y479+Z479+AA479+AB479</f>
        <v>3741.1</v>
      </c>
      <c r="Y479" s="3"/>
      <c r="Z479" s="3"/>
      <c r="AA479" s="3"/>
      <c r="AB479" s="3">
        <v>3741.1</v>
      </c>
      <c r="AC479" s="3"/>
      <c r="AD479" s="3"/>
      <c r="AE479" s="3"/>
      <c r="AF479" s="3"/>
      <c r="AG479" s="3"/>
      <c r="AH479" s="3"/>
      <c r="AI479" s="3"/>
      <c r="AJ479" s="3"/>
      <c r="AK479" s="3"/>
      <c r="AL479" s="3"/>
      <c r="AM479" s="3"/>
      <c r="AN479" s="3"/>
      <c r="AO479" s="3"/>
      <c r="AP479" s="3"/>
      <c r="AQ479" s="3"/>
    </row>
    <row r="480" spans="1:43" ht="35.450000000000003" customHeight="1" thickBot="1">
      <c r="A480" s="72" t="s">
        <v>65</v>
      </c>
      <c r="B480" s="104"/>
      <c r="C480" s="110"/>
      <c r="D480" s="151"/>
      <c r="E480" s="111"/>
      <c r="F480" s="3"/>
      <c r="G480" s="3"/>
      <c r="H480" s="3"/>
      <c r="I480" s="4"/>
      <c r="J480" s="3"/>
      <c r="K480" s="3"/>
      <c r="L480" s="3"/>
      <c r="M480" s="87" t="s">
        <v>665</v>
      </c>
      <c r="N480" s="3">
        <f>P480+R480+T480+V480</f>
        <v>0</v>
      </c>
      <c r="O480" s="3">
        <f t="shared" si="120"/>
        <v>0</v>
      </c>
      <c r="P480" s="3"/>
      <c r="Q480" s="3"/>
      <c r="R480" s="3"/>
      <c r="S480" s="3"/>
      <c r="T480" s="3"/>
      <c r="U480" s="3"/>
      <c r="V480" s="3"/>
      <c r="W480" s="3"/>
      <c r="X480" s="3">
        <f>Y480+Z480+AA480+AB480</f>
        <v>0</v>
      </c>
      <c r="Y480" s="3"/>
      <c r="Z480" s="3"/>
      <c r="AA480" s="3"/>
      <c r="AB480" s="3"/>
      <c r="AC480" s="3">
        <f>AD480+AE480+AF480+AG480</f>
        <v>0</v>
      </c>
      <c r="AD480" s="3"/>
      <c r="AE480" s="3"/>
      <c r="AF480" s="3"/>
      <c r="AG480" s="3"/>
      <c r="AH480" s="3">
        <f t="shared" si="118"/>
        <v>0</v>
      </c>
      <c r="AI480" s="3"/>
      <c r="AJ480" s="3"/>
      <c r="AK480" s="3"/>
      <c r="AL480" s="3"/>
      <c r="AM480" s="3">
        <f t="shared" si="119"/>
        <v>0</v>
      </c>
      <c r="AN480" s="3"/>
      <c r="AO480" s="3"/>
      <c r="AP480" s="3"/>
      <c r="AQ480" s="3"/>
    </row>
    <row r="481" spans="1:43" ht="35.450000000000003" customHeight="1" thickBot="1">
      <c r="A481" s="72" t="s">
        <v>65</v>
      </c>
      <c r="B481" s="104"/>
      <c r="C481" s="110"/>
      <c r="D481" s="151"/>
      <c r="E481" s="111"/>
      <c r="F481" s="3"/>
      <c r="G481" s="3"/>
      <c r="H481" s="3"/>
      <c r="I481" s="4"/>
      <c r="J481" s="3"/>
      <c r="K481" s="3"/>
      <c r="L481" s="3"/>
      <c r="M481" s="87" t="s">
        <v>666</v>
      </c>
      <c r="N481" s="3"/>
      <c r="O481" s="3">
        <f t="shared" si="120"/>
        <v>0</v>
      </c>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row>
    <row r="482" spans="1:43" ht="35.450000000000003" customHeight="1" thickBot="1">
      <c r="A482" s="72" t="s">
        <v>65</v>
      </c>
      <c r="B482" s="104"/>
      <c r="C482" s="110"/>
      <c r="D482" s="151"/>
      <c r="E482" s="111"/>
      <c r="F482" s="3"/>
      <c r="G482" s="3"/>
      <c r="H482" s="3"/>
      <c r="I482" s="4"/>
      <c r="J482" s="3"/>
      <c r="K482" s="3"/>
      <c r="L482" s="3"/>
      <c r="M482" s="87" t="s">
        <v>667</v>
      </c>
      <c r="N482" s="3">
        <f t="shared" ref="N482:N490" si="121">P482+R482+T482+V482</f>
        <v>0</v>
      </c>
      <c r="O482" s="3">
        <f t="shared" si="120"/>
        <v>0</v>
      </c>
      <c r="P482" s="3">
        <f>R482+T482+V482+SE1273</f>
        <v>0</v>
      </c>
      <c r="Q482" s="3"/>
      <c r="R482" s="3">
        <f>T482+V482+SE1273+SF1273</f>
        <v>0</v>
      </c>
      <c r="S482" s="3"/>
      <c r="T482" s="3">
        <f>V482+SE1273+SF1273+SG1273</f>
        <v>0</v>
      </c>
      <c r="U482" s="3"/>
      <c r="V482" s="3">
        <f>SE1273+SF1273+SG1273+SH1273</f>
        <v>0</v>
      </c>
      <c r="W482" s="3"/>
      <c r="X482" s="3">
        <f t="shared" ref="X482:X490" si="122">Y482+Z482+AA482+AB482</f>
        <v>0</v>
      </c>
      <c r="Y482" s="3">
        <f>Z482+AA482+AB482+LL1273</f>
        <v>0</v>
      </c>
      <c r="Z482" s="3">
        <f>AA482+AB482+LL1273+LM1273</f>
        <v>0</v>
      </c>
      <c r="AA482" s="3">
        <f>AB482+LL1273+LM1273+LN1273</f>
        <v>0</v>
      </c>
      <c r="AB482" s="3">
        <f>LL1273+LM1273+LN1273+LO1273</f>
        <v>0</v>
      </c>
      <c r="AC482" s="3">
        <f t="shared" ref="AC482:AC490" si="123">AD482+AE482+AF482+AG482</f>
        <v>0</v>
      </c>
      <c r="AD482" s="3">
        <f>AE482+AF482+AG482+IE1273</f>
        <v>0</v>
      </c>
      <c r="AE482" s="3">
        <f>AF482+AG482+IE1273+IF1273</f>
        <v>0</v>
      </c>
      <c r="AF482" s="3">
        <f>AG482+IE1273+IF1273+IG1273</f>
        <v>0</v>
      </c>
      <c r="AG482" s="3">
        <f>IE1273+IF1273+IG1273+IH1273</f>
        <v>0</v>
      </c>
      <c r="AH482" s="3">
        <f t="shared" si="118"/>
        <v>0</v>
      </c>
      <c r="AI482" s="3">
        <f>AJ482+AK482+AL482+EN482</f>
        <v>0</v>
      </c>
      <c r="AJ482" s="3">
        <f>AK482+AL482+EN482+EO482</f>
        <v>0</v>
      </c>
      <c r="AK482" s="3">
        <f>AL482+EN482+EO482+EP482</f>
        <v>0</v>
      </c>
      <c r="AL482" s="3">
        <f>EN482+EO482+EP482+EQ482</f>
        <v>0</v>
      </c>
      <c r="AM482" s="3">
        <f t="shared" si="119"/>
        <v>0</v>
      </c>
      <c r="AN482" s="3">
        <f>AO482+AP482+AQ482+ES482</f>
        <v>0</v>
      </c>
      <c r="AO482" s="3">
        <f>AP482+AQ482+ES482+ET482</f>
        <v>0</v>
      </c>
      <c r="AP482" s="3">
        <f>AQ482+ES482+ET482+EU482</f>
        <v>0</v>
      </c>
      <c r="AQ482" s="3">
        <f>ES482+ET482+EU482+EV482</f>
        <v>0</v>
      </c>
    </row>
    <row r="483" spans="1:43" ht="35.450000000000003" customHeight="1" thickBot="1">
      <c r="A483" s="72" t="s">
        <v>65</v>
      </c>
      <c r="B483" s="104"/>
      <c r="C483" s="110"/>
      <c r="D483" s="151"/>
      <c r="E483" s="111"/>
      <c r="F483" s="3"/>
      <c r="G483" s="3"/>
      <c r="H483" s="3"/>
      <c r="I483" s="4"/>
      <c r="J483" s="3"/>
      <c r="K483" s="3"/>
      <c r="L483" s="3"/>
      <c r="M483" s="87" t="s">
        <v>668</v>
      </c>
      <c r="N483" s="3">
        <f t="shared" si="121"/>
        <v>0</v>
      </c>
      <c r="O483" s="3">
        <f t="shared" si="120"/>
        <v>0</v>
      </c>
      <c r="P483" s="3"/>
      <c r="Q483" s="3"/>
      <c r="R483" s="3"/>
      <c r="S483" s="3"/>
      <c r="T483" s="3"/>
      <c r="U483" s="3"/>
      <c r="V483" s="3"/>
      <c r="W483" s="3"/>
      <c r="X483" s="3">
        <f t="shared" si="122"/>
        <v>0</v>
      </c>
      <c r="Y483" s="3"/>
      <c r="Z483" s="3"/>
      <c r="AA483" s="3"/>
      <c r="AB483" s="3"/>
      <c r="AC483" s="3">
        <f t="shared" si="123"/>
        <v>0</v>
      </c>
      <c r="AD483" s="3"/>
      <c r="AE483" s="3"/>
      <c r="AF483" s="3"/>
      <c r="AG483" s="3"/>
      <c r="AH483" s="3">
        <f t="shared" si="118"/>
        <v>0</v>
      </c>
      <c r="AI483" s="3"/>
      <c r="AJ483" s="3"/>
      <c r="AK483" s="3"/>
      <c r="AL483" s="3"/>
      <c r="AM483" s="3">
        <f t="shared" si="119"/>
        <v>0</v>
      </c>
      <c r="AN483" s="3"/>
      <c r="AO483" s="3"/>
      <c r="AP483" s="3"/>
      <c r="AQ483" s="3"/>
    </row>
    <row r="484" spans="1:43" ht="35.450000000000003" customHeight="1" thickBot="1">
      <c r="A484" s="72" t="s">
        <v>65</v>
      </c>
      <c r="B484" s="104"/>
      <c r="C484" s="110"/>
      <c r="D484" s="151"/>
      <c r="E484" s="111"/>
      <c r="F484" s="3"/>
      <c r="G484" s="3"/>
      <c r="H484" s="3"/>
      <c r="I484" s="4"/>
      <c r="J484" s="3"/>
      <c r="K484" s="3"/>
      <c r="L484" s="3"/>
      <c r="M484" s="87" t="s">
        <v>669</v>
      </c>
      <c r="N484" s="3">
        <f t="shared" si="121"/>
        <v>0</v>
      </c>
      <c r="O484" s="3">
        <f t="shared" si="120"/>
        <v>0</v>
      </c>
      <c r="P484" s="3"/>
      <c r="Q484" s="3"/>
      <c r="R484" s="3"/>
      <c r="S484" s="3"/>
      <c r="T484" s="3"/>
      <c r="U484" s="3"/>
      <c r="V484" s="3"/>
      <c r="W484" s="3"/>
      <c r="X484" s="3">
        <f t="shared" si="122"/>
        <v>0</v>
      </c>
      <c r="Y484" s="3"/>
      <c r="Z484" s="3"/>
      <c r="AA484" s="3"/>
      <c r="AB484" s="3"/>
      <c r="AC484" s="3">
        <f t="shared" si="123"/>
        <v>0</v>
      </c>
      <c r="AD484" s="3"/>
      <c r="AE484" s="3"/>
      <c r="AF484" s="3"/>
      <c r="AG484" s="3"/>
      <c r="AH484" s="3">
        <f t="shared" si="118"/>
        <v>0</v>
      </c>
      <c r="AI484" s="3"/>
      <c r="AJ484" s="3"/>
      <c r="AK484" s="3"/>
      <c r="AL484" s="3"/>
      <c r="AM484" s="3">
        <f t="shared" si="119"/>
        <v>0</v>
      </c>
      <c r="AN484" s="3"/>
      <c r="AO484" s="3"/>
      <c r="AP484" s="3"/>
      <c r="AQ484" s="3"/>
    </row>
    <row r="485" spans="1:43" ht="35.450000000000003" customHeight="1" thickBot="1">
      <c r="A485" s="72" t="s">
        <v>65</v>
      </c>
      <c r="B485" s="104"/>
      <c r="C485" s="110"/>
      <c r="D485" s="151"/>
      <c r="E485" s="111"/>
      <c r="F485" s="3"/>
      <c r="G485" s="3"/>
      <c r="H485" s="3"/>
      <c r="I485" s="202"/>
      <c r="J485" s="3"/>
      <c r="K485" s="3"/>
      <c r="L485" s="3"/>
      <c r="M485" s="87" t="s">
        <v>670</v>
      </c>
      <c r="N485" s="3">
        <f t="shared" si="121"/>
        <v>0</v>
      </c>
      <c r="O485" s="3">
        <f t="shared" si="120"/>
        <v>0</v>
      </c>
      <c r="P485" s="3"/>
      <c r="Q485" s="3"/>
      <c r="R485" s="3"/>
      <c r="S485" s="3"/>
      <c r="T485" s="3"/>
      <c r="U485" s="3"/>
      <c r="V485" s="3"/>
      <c r="W485" s="3"/>
      <c r="X485" s="3">
        <f t="shared" si="122"/>
        <v>0</v>
      </c>
      <c r="Y485" s="3"/>
      <c r="Z485" s="3"/>
      <c r="AA485" s="3"/>
      <c r="AB485" s="3"/>
      <c r="AC485" s="3">
        <f t="shared" si="123"/>
        <v>0</v>
      </c>
      <c r="AD485" s="3"/>
      <c r="AE485" s="3"/>
      <c r="AF485" s="3"/>
      <c r="AG485" s="3"/>
      <c r="AH485" s="3">
        <f t="shared" si="118"/>
        <v>0</v>
      </c>
      <c r="AI485" s="3"/>
      <c r="AJ485" s="3"/>
      <c r="AK485" s="3"/>
      <c r="AL485" s="3"/>
      <c r="AM485" s="3">
        <f t="shared" si="119"/>
        <v>0</v>
      </c>
      <c r="AN485" s="3"/>
      <c r="AO485" s="3"/>
      <c r="AP485" s="3"/>
      <c r="AQ485" s="3"/>
    </row>
    <row r="486" spans="1:43" ht="35.450000000000003" customHeight="1" thickBot="1">
      <c r="A486" s="72" t="s">
        <v>65</v>
      </c>
      <c r="B486" s="104"/>
      <c r="C486" s="110"/>
      <c r="D486" s="151"/>
      <c r="E486" s="111"/>
      <c r="F486" s="3"/>
      <c r="G486" s="3"/>
      <c r="H486" s="3"/>
      <c r="I486" s="202"/>
      <c r="J486" s="3"/>
      <c r="K486" s="3"/>
      <c r="L486" s="3"/>
      <c r="M486" s="87" t="s">
        <v>671</v>
      </c>
      <c r="N486" s="3">
        <f t="shared" si="121"/>
        <v>0</v>
      </c>
      <c r="O486" s="3">
        <f t="shared" si="120"/>
        <v>0</v>
      </c>
      <c r="P486" s="3"/>
      <c r="Q486" s="3"/>
      <c r="R486" s="3"/>
      <c r="S486" s="3"/>
      <c r="T486" s="3"/>
      <c r="U486" s="3"/>
      <c r="V486" s="3"/>
      <c r="W486" s="3"/>
      <c r="X486" s="3">
        <f t="shared" si="122"/>
        <v>0</v>
      </c>
      <c r="Y486" s="3"/>
      <c r="Z486" s="3"/>
      <c r="AA486" s="3"/>
      <c r="AB486" s="3"/>
      <c r="AC486" s="3">
        <f t="shared" si="123"/>
        <v>0</v>
      </c>
      <c r="AD486" s="3"/>
      <c r="AE486" s="3"/>
      <c r="AF486" s="3"/>
      <c r="AG486" s="3"/>
      <c r="AH486" s="3">
        <f t="shared" si="118"/>
        <v>0</v>
      </c>
      <c r="AI486" s="3"/>
      <c r="AJ486" s="3"/>
      <c r="AK486" s="3"/>
      <c r="AL486" s="3"/>
      <c r="AM486" s="3">
        <f t="shared" si="119"/>
        <v>0</v>
      </c>
      <c r="AN486" s="3"/>
      <c r="AO486" s="3"/>
      <c r="AP486" s="3"/>
      <c r="AQ486" s="3"/>
    </row>
    <row r="487" spans="1:43" ht="35.450000000000003" customHeight="1" thickBot="1">
      <c r="A487" s="72" t="s">
        <v>65</v>
      </c>
      <c r="B487" s="104"/>
      <c r="C487" s="110"/>
      <c r="D487" s="151"/>
      <c r="E487" s="111"/>
      <c r="F487" s="3"/>
      <c r="G487" s="3"/>
      <c r="H487" s="3"/>
      <c r="I487" s="4"/>
      <c r="J487" s="3"/>
      <c r="K487" s="3"/>
      <c r="L487" s="3"/>
      <c r="M487" s="87" t="s">
        <v>672</v>
      </c>
      <c r="N487" s="3">
        <f t="shared" si="121"/>
        <v>0</v>
      </c>
      <c r="O487" s="3">
        <f t="shared" si="120"/>
        <v>0</v>
      </c>
      <c r="P487" s="3"/>
      <c r="Q487" s="3"/>
      <c r="R487" s="3"/>
      <c r="S487" s="3"/>
      <c r="T487" s="3"/>
      <c r="U487" s="3"/>
      <c r="V487" s="3"/>
      <c r="W487" s="3"/>
      <c r="X487" s="3">
        <f t="shared" si="122"/>
        <v>0</v>
      </c>
      <c r="Y487" s="3"/>
      <c r="Z487" s="3"/>
      <c r="AA487" s="3"/>
      <c r="AB487" s="3"/>
      <c r="AC487" s="3">
        <f t="shared" si="123"/>
        <v>0</v>
      </c>
      <c r="AD487" s="3"/>
      <c r="AE487" s="3"/>
      <c r="AF487" s="3"/>
      <c r="AG487" s="3"/>
      <c r="AH487" s="3">
        <f t="shared" si="118"/>
        <v>0</v>
      </c>
      <c r="AI487" s="3"/>
      <c r="AJ487" s="3"/>
      <c r="AK487" s="3"/>
      <c r="AL487" s="3"/>
      <c r="AM487" s="3">
        <f t="shared" si="119"/>
        <v>0</v>
      </c>
      <c r="AN487" s="3"/>
      <c r="AO487" s="3"/>
      <c r="AP487" s="3"/>
      <c r="AQ487" s="3"/>
    </row>
    <row r="488" spans="1:43" ht="35.450000000000003" customHeight="1" thickBot="1">
      <c r="A488" s="72" t="s">
        <v>65</v>
      </c>
      <c r="B488" s="104"/>
      <c r="C488" s="110"/>
      <c r="D488" s="151"/>
      <c r="E488" s="111"/>
      <c r="F488" s="3"/>
      <c r="G488" s="3"/>
      <c r="H488" s="3"/>
      <c r="I488" s="4"/>
      <c r="J488" s="3"/>
      <c r="K488" s="3"/>
      <c r="L488" s="3"/>
      <c r="M488" s="87" t="s">
        <v>667</v>
      </c>
      <c r="N488" s="3">
        <f t="shared" si="121"/>
        <v>0</v>
      </c>
      <c r="O488" s="3">
        <f t="shared" si="120"/>
        <v>0</v>
      </c>
      <c r="P488" s="3"/>
      <c r="Q488" s="3"/>
      <c r="R488" s="3"/>
      <c r="S488" s="3"/>
      <c r="T488" s="3"/>
      <c r="U488" s="3"/>
      <c r="V488" s="3"/>
      <c r="W488" s="3"/>
      <c r="X488" s="3">
        <f t="shared" si="122"/>
        <v>0</v>
      </c>
      <c r="Y488" s="3"/>
      <c r="Z488" s="3"/>
      <c r="AA488" s="3"/>
      <c r="AB488" s="3"/>
      <c r="AC488" s="3">
        <f t="shared" si="123"/>
        <v>0</v>
      </c>
      <c r="AD488" s="3"/>
      <c r="AE488" s="3"/>
      <c r="AF488" s="3"/>
      <c r="AG488" s="3"/>
      <c r="AH488" s="3">
        <f t="shared" si="118"/>
        <v>0</v>
      </c>
      <c r="AI488" s="3"/>
      <c r="AJ488" s="3"/>
      <c r="AK488" s="3"/>
      <c r="AL488" s="3"/>
      <c r="AM488" s="3">
        <f t="shared" si="119"/>
        <v>0</v>
      </c>
      <c r="AN488" s="3"/>
      <c r="AO488" s="3"/>
      <c r="AP488" s="3"/>
      <c r="AQ488" s="3"/>
    </row>
    <row r="489" spans="1:43" ht="35.450000000000003" customHeight="1" thickBot="1">
      <c r="A489" s="72" t="s">
        <v>65</v>
      </c>
      <c r="B489" s="104"/>
      <c r="C489" s="110"/>
      <c r="D489" s="151"/>
      <c r="E489" s="111"/>
      <c r="F489" s="3"/>
      <c r="G489" s="3"/>
      <c r="H489" s="3"/>
      <c r="I489" s="4"/>
      <c r="J489" s="3"/>
      <c r="K489" s="3"/>
      <c r="L489" s="3"/>
      <c r="M489" s="87" t="s">
        <v>673</v>
      </c>
      <c r="N489" s="3">
        <f t="shared" si="121"/>
        <v>98</v>
      </c>
      <c r="O489" s="3">
        <f t="shared" si="120"/>
        <v>98</v>
      </c>
      <c r="P489" s="3"/>
      <c r="Q489" s="3"/>
      <c r="R489" s="3"/>
      <c r="S489" s="3"/>
      <c r="T489" s="3"/>
      <c r="U489" s="3"/>
      <c r="V489" s="3">
        <v>98</v>
      </c>
      <c r="W489" s="3">
        <v>98</v>
      </c>
      <c r="X489" s="3">
        <f t="shared" si="122"/>
        <v>0</v>
      </c>
      <c r="Y489" s="3"/>
      <c r="Z489" s="3"/>
      <c r="AA489" s="3"/>
      <c r="AB489" s="3"/>
      <c r="AC489" s="3">
        <f t="shared" si="123"/>
        <v>0</v>
      </c>
      <c r="AD489" s="3"/>
      <c r="AE489" s="3"/>
      <c r="AF489" s="3"/>
      <c r="AG489" s="3"/>
      <c r="AH489" s="3">
        <f t="shared" si="118"/>
        <v>0</v>
      </c>
      <c r="AI489" s="3"/>
      <c r="AJ489" s="3"/>
      <c r="AK489" s="3"/>
      <c r="AL489" s="3"/>
      <c r="AM489" s="3">
        <f t="shared" si="119"/>
        <v>0</v>
      </c>
      <c r="AN489" s="3"/>
      <c r="AO489" s="3"/>
      <c r="AP489" s="3"/>
      <c r="AQ489" s="3"/>
    </row>
    <row r="490" spans="1:43" ht="35.450000000000003" customHeight="1" thickBot="1">
      <c r="A490" s="72" t="s">
        <v>65</v>
      </c>
      <c r="B490" s="104"/>
      <c r="C490" s="110"/>
      <c r="D490" s="151"/>
      <c r="E490" s="111"/>
      <c r="F490" s="3"/>
      <c r="G490" s="3"/>
      <c r="H490" s="3"/>
      <c r="I490" s="4"/>
      <c r="J490" s="3"/>
      <c r="K490" s="3"/>
      <c r="L490" s="3"/>
      <c r="M490" s="87" t="s">
        <v>674</v>
      </c>
      <c r="N490" s="3">
        <f t="shared" si="121"/>
        <v>8892</v>
      </c>
      <c r="O490" s="3">
        <f t="shared" si="120"/>
        <v>7256.4</v>
      </c>
      <c r="P490" s="3"/>
      <c r="Q490" s="3"/>
      <c r="R490" s="3"/>
      <c r="S490" s="3"/>
      <c r="T490" s="3"/>
      <c r="U490" s="3"/>
      <c r="V490" s="3">
        <f>4200+599.8+1150+150+926.5+3512.5+640.1-186.9-2100</f>
        <v>8892</v>
      </c>
      <c r="W490" s="3">
        <v>7256.4</v>
      </c>
      <c r="X490" s="3">
        <f t="shared" si="122"/>
        <v>6965.4000000000005</v>
      </c>
      <c r="Y490" s="3"/>
      <c r="Z490" s="3"/>
      <c r="AA490" s="3"/>
      <c r="AB490" s="3">
        <f>5300+3819.1+827.1-1685.5-1545.3+250</f>
        <v>6965.4000000000005</v>
      </c>
      <c r="AC490" s="3">
        <f t="shared" si="123"/>
        <v>7790</v>
      </c>
      <c r="AD490" s="3"/>
      <c r="AE490" s="3"/>
      <c r="AF490" s="3"/>
      <c r="AG490" s="3">
        <v>7790</v>
      </c>
      <c r="AH490" s="3">
        <f t="shared" si="118"/>
        <v>7790</v>
      </c>
      <c r="AI490" s="3"/>
      <c r="AJ490" s="3"/>
      <c r="AK490" s="3"/>
      <c r="AL490" s="3">
        <v>7790</v>
      </c>
      <c r="AM490" s="3">
        <f t="shared" si="119"/>
        <v>7790</v>
      </c>
      <c r="AN490" s="3"/>
      <c r="AO490" s="3"/>
      <c r="AP490" s="3"/>
      <c r="AQ490" s="3">
        <v>7790</v>
      </c>
    </row>
    <row r="491" spans="1:43" ht="35.450000000000003" customHeight="1" thickBot="1">
      <c r="A491" s="72" t="s">
        <v>65</v>
      </c>
      <c r="B491" s="104"/>
      <c r="C491" s="110"/>
      <c r="D491" s="151"/>
      <c r="E491" s="111"/>
      <c r="F491" s="3"/>
      <c r="G491" s="3"/>
      <c r="H491" s="3"/>
      <c r="I491" s="4"/>
      <c r="J491" s="3"/>
      <c r="K491" s="3"/>
      <c r="L491" s="3"/>
      <c r="M491" s="87" t="s">
        <v>675</v>
      </c>
      <c r="N491" s="3"/>
      <c r="O491" s="3">
        <f t="shared" si="120"/>
        <v>0</v>
      </c>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row>
    <row r="492" spans="1:43" ht="35.450000000000003" customHeight="1" thickBot="1">
      <c r="A492" s="72" t="s">
        <v>65</v>
      </c>
      <c r="B492" s="104"/>
      <c r="C492" s="110"/>
      <c r="D492" s="151"/>
      <c r="E492" s="111"/>
      <c r="F492" s="3"/>
      <c r="G492" s="3"/>
      <c r="H492" s="3"/>
      <c r="I492" s="4"/>
      <c r="J492" s="3"/>
      <c r="K492" s="3"/>
      <c r="L492" s="3"/>
      <c r="M492" s="87" t="s">
        <v>676</v>
      </c>
      <c r="N492" s="3">
        <f t="shared" ref="N492:N502" si="124">P492+R492+T492+V492</f>
        <v>0</v>
      </c>
      <c r="O492" s="3">
        <f t="shared" si="120"/>
        <v>0</v>
      </c>
      <c r="P492" s="3"/>
      <c r="Q492" s="3"/>
      <c r="R492" s="3"/>
      <c r="S492" s="3"/>
      <c r="T492" s="3"/>
      <c r="U492" s="3"/>
      <c r="V492" s="3"/>
      <c r="W492" s="3"/>
      <c r="X492" s="3">
        <f t="shared" ref="X492:X502" si="125">Y492+Z492+AA492+AB492</f>
        <v>0</v>
      </c>
      <c r="Y492" s="3"/>
      <c r="Z492" s="3"/>
      <c r="AA492" s="3"/>
      <c r="AB492" s="3"/>
      <c r="AC492" s="3">
        <f>AD492+AE492+AF492+AG492</f>
        <v>0</v>
      </c>
      <c r="AD492" s="3"/>
      <c r="AE492" s="3"/>
      <c r="AF492" s="3"/>
      <c r="AG492" s="3"/>
      <c r="AH492" s="3">
        <f t="shared" si="118"/>
        <v>0</v>
      </c>
      <c r="AI492" s="3"/>
      <c r="AJ492" s="3"/>
      <c r="AK492" s="3"/>
      <c r="AL492" s="3"/>
      <c r="AM492" s="3">
        <f t="shared" si="119"/>
        <v>0</v>
      </c>
      <c r="AN492" s="3"/>
      <c r="AO492" s="3"/>
      <c r="AP492" s="3"/>
      <c r="AQ492" s="3"/>
    </row>
    <row r="493" spans="1:43" ht="35.450000000000003" customHeight="1" thickBot="1">
      <c r="A493" s="72" t="s">
        <v>65</v>
      </c>
      <c r="B493" s="104"/>
      <c r="C493" s="110"/>
      <c r="D493" s="151"/>
      <c r="E493" s="111"/>
      <c r="F493" s="3"/>
      <c r="G493" s="3"/>
      <c r="H493" s="3"/>
      <c r="I493" s="4"/>
      <c r="J493" s="3"/>
      <c r="K493" s="3"/>
      <c r="L493" s="3"/>
      <c r="M493" s="87" t="s">
        <v>677</v>
      </c>
      <c r="N493" s="3">
        <f t="shared" si="124"/>
        <v>0</v>
      </c>
      <c r="O493" s="3">
        <f t="shared" si="120"/>
        <v>0</v>
      </c>
      <c r="P493" s="3"/>
      <c r="Q493" s="3"/>
      <c r="R493" s="3"/>
      <c r="S493" s="3"/>
      <c r="T493" s="3"/>
      <c r="U493" s="3"/>
      <c r="V493" s="3"/>
      <c r="W493" s="3"/>
      <c r="X493" s="3">
        <f t="shared" si="125"/>
        <v>0</v>
      </c>
      <c r="Y493" s="3"/>
      <c r="Z493" s="3"/>
      <c r="AA493" s="3"/>
      <c r="AB493" s="3"/>
      <c r="AC493" s="3">
        <f>AD493+AE493+AF493+AG493</f>
        <v>0</v>
      </c>
      <c r="AD493" s="3"/>
      <c r="AE493" s="3"/>
      <c r="AF493" s="3"/>
      <c r="AG493" s="3"/>
      <c r="AH493" s="3">
        <f t="shared" si="118"/>
        <v>0</v>
      </c>
      <c r="AI493" s="3"/>
      <c r="AJ493" s="3"/>
      <c r="AK493" s="3"/>
      <c r="AL493" s="3"/>
      <c r="AM493" s="3">
        <f t="shared" si="119"/>
        <v>0</v>
      </c>
      <c r="AN493" s="3"/>
      <c r="AO493" s="3"/>
      <c r="AP493" s="3"/>
      <c r="AQ493" s="3"/>
    </row>
    <row r="494" spans="1:43" ht="35.450000000000003" customHeight="1" thickBot="1">
      <c r="A494" s="72" t="s">
        <v>65</v>
      </c>
      <c r="B494" s="104"/>
      <c r="C494" s="110"/>
      <c r="D494" s="151"/>
      <c r="E494" s="111"/>
      <c r="F494" s="3"/>
      <c r="G494" s="3"/>
      <c r="H494" s="3"/>
      <c r="I494" s="4"/>
      <c r="J494" s="3"/>
      <c r="K494" s="3"/>
      <c r="L494" s="3"/>
      <c r="M494" s="87" t="s">
        <v>678</v>
      </c>
      <c r="N494" s="3">
        <f t="shared" si="124"/>
        <v>0</v>
      </c>
      <c r="O494" s="3">
        <f t="shared" si="120"/>
        <v>0</v>
      </c>
      <c r="P494" s="3"/>
      <c r="Q494" s="3"/>
      <c r="R494" s="3"/>
      <c r="S494" s="3"/>
      <c r="T494" s="3"/>
      <c r="U494" s="3"/>
      <c r="V494" s="3">
        <v>0</v>
      </c>
      <c r="W494" s="3"/>
      <c r="X494" s="3">
        <f t="shared" si="125"/>
        <v>0</v>
      </c>
      <c r="Y494" s="3"/>
      <c r="Z494" s="3"/>
      <c r="AA494" s="3"/>
      <c r="AB494" s="3">
        <v>0</v>
      </c>
      <c r="AC494" s="3">
        <f>AD494+AE494+AF494+AG494</f>
        <v>0</v>
      </c>
      <c r="AD494" s="3"/>
      <c r="AE494" s="3"/>
      <c r="AF494" s="3"/>
      <c r="AG494" s="3">
        <v>0</v>
      </c>
      <c r="AH494" s="3">
        <f t="shared" si="118"/>
        <v>0</v>
      </c>
      <c r="AI494" s="3"/>
      <c r="AJ494" s="3"/>
      <c r="AK494" s="3"/>
      <c r="AL494" s="3">
        <v>0</v>
      </c>
      <c r="AM494" s="3">
        <f t="shared" si="119"/>
        <v>0</v>
      </c>
      <c r="AN494" s="3"/>
      <c r="AO494" s="3"/>
      <c r="AP494" s="3"/>
      <c r="AQ494" s="3">
        <v>0</v>
      </c>
    </row>
    <row r="495" spans="1:43" ht="35.450000000000003" customHeight="1" thickBot="1">
      <c r="A495" s="72" t="s">
        <v>65</v>
      </c>
      <c r="B495" s="104"/>
      <c r="C495" s="110"/>
      <c r="D495" s="151"/>
      <c r="E495" s="111"/>
      <c r="F495" s="3"/>
      <c r="G495" s="3"/>
      <c r="H495" s="3"/>
      <c r="I495" s="3"/>
      <c r="J495" s="3"/>
      <c r="K495" s="3"/>
      <c r="L495" s="3"/>
      <c r="M495" s="87" t="s">
        <v>679</v>
      </c>
      <c r="N495" s="3">
        <f t="shared" si="124"/>
        <v>0</v>
      </c>
      <c r="O495" s="3">
        <f t="shared" si="120"/>
        <v>0</v>
      </c>
      <c r="P495" s="3"/>
      <c r="Q495" s="3"/>
      <c r="R495" s="3"/>
      <c r="S495" s="3"/>
      <c r="T495" s="3"/>
      <c r="U495" s="3"/>
      <c r="V495" s="3"/>
      <c r="W495" s="3"/>
      <c r="X495" s="3">
        <f t="shared" si="125"/>
        <v>0</v>
      </c>
      <c r="Y495" s="3"/>
      <c r="Z495" s="3"/>
      <c r="AA495" s="3"/>
      <c r="AB495" s="3"/>
      <c r="AC495" s="3">
        <f>AD495+AE495+AF495+AG495</f>
        <v>0</v>
      </c>
      <c r="AD495" s="3"/>
      <c r="AE495" s="3"/>
      <c r="AF495" s="3"/>
      <c r="AG495" s="3"/>
      <c r="AH495" s="3">
        <f t="shared" si="118"/>
        <v>0</v>
      </c>
      <c r="AI495" s="3"/>
      <c r="AJ495" s="3"/>
      <c r="AK495" s="3"/>
      <c r="AL495" s="3"/>
      <c r="AM495" s="3">
        <f t="shared" si="119"/>
        <v>0</v>
      </c>
      <c r="AN495" s="3"/>
      <c r="AO495" s="3"/>
      <c r="AP495" s="3"/>
      <c r="AQ495" s="3"/>
    </row>
    <row r="496" spans="1:43" ht="35.450000000000003" customHeight="1" thickBot="1">
      <c r="A496" s="72" t="s">
        <v>65</v>
      </c>
      <c r="B496" s="104"/>
      <c r="C496" s="110"/>
      <c r="D496" s="151"/>
      <c r="E496" s="111"/>
      <c r="F496" s="3"/>
      <c r="G496" s="3"/>
      <c r="H496" s="3"/>
      <c r="I496" s="3"/>
      <c r="J496" s="3"/>
      <c r="K496" s="3"/>
      <c r="L496" s="3"/>
      <c r="M496" s="87" t="s">
        <v>680</v>
      </c>
      <c r="N496" s="3">
        <f t="shared" si="124"/>
        <v>0</v>
      </c>
      <c r="O496" s="3">
        <f t="shared" si="120"/>
        <v>0</v>
      </c>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row>
    <row r="497" spans="1:43" ht="35.450000000000003" customHeight="1" thickBot="1">
      <c r="A497" s="72" t="s">
        <v>65</v>
      </c>
      <c r="B497" s="104"/>
      <c r="C497" s="110"/>
      <c r="D497" s="151"/>
      <c r="E497" s="111"/>
      <c r="F497" s="3"/>
      <c r="G497" s="3"/>
      <c r="H497" s="3"/>
      <c r="I497" s="3"/>
      <c r="J497" s="3"/>
      <c r="K497" s="3"/>
      <c r="L497" s="3"/>
      <c r="M497" s="87" t="s">
        <v>681</v>
      </c>
      <c r="N497" s="3">
        <f t="shared" si="124"/>
        <v>0</v>
      </c>
      <c r="O497" s="3">
        <f t="shared" si="120"/>
        <v>0</v>
      </c>
      <c r="P497" s="3"/>
      <c r="Q497" s="3"/>
      <c r="R497" s="3"/>
      <c r="S497" s="3"/>
      <c r="T497" s="3"/>
      <c r="U497" s="3"/>
      <c r="V497" s="3"/>
      <c r="W497" s="3"/>
      <c r="X497" s="3">
        <f t="shared" si="125"/>
        <v>0</v>
      </c>
      <c r="Y497" s="3"/>
      <c r="Z497" s="3"/>
      <c r="AA497" s="3"/>
      <c r="AB497" s="3"/>
      <c r="AC497" s="3">
        <f t="shared" ref="AC497:AC502" si="126">AD497+AE497+AF497+AG497</f>
        <v>0</v>
      </c>
      <c r="AD497" s="3"/>
      <c r="AE497" s="3"/>
      <c r="AF497" s="3"/>
      <c r="AG497" s="3"/>
      <c r="AH497" s="3">
        <f t="shared" si="118"/>
        <v>0</v>
      </c>
      <c r="AI497" s="3"/>
      <c r="AJ497" s="3"/>
      <c r="AK497" s="3"/>
      <c r="AL497" s="3"/>
      <c r="AM497" s="3">
        <f t="shared" si="119"/>
        <v>0</v>
      </c>
      <c r="AN497" s="3"/>
      <c r="AO497" s="3"/>
      <c r="AP497" s="3"/>
      <c r="AQ497" s="3"/>
    </row>
    <row r="498" spans="1:43" ht="35.450000000000003" customHeight="1" thickBot="1">
      <c r="A498" s="72" t="s">
        <v>65</v>
      </c>
      <c r="B498" s="104"/>
      <c r="C498" s="110"/>
      <c r="D498" s="151"/>
      <c r="E498" s="111"/>
      <c r="F498" s="3"/>
      <c r="G498" s="3"/>
      <c r="H498" s="3"/>
      <c r="I498" s="3"/>
      <c r="J498" s="3"/>
      <c r="K498" s="3"/>
      <c r="L498" s="3"/>
      <c r="M498" s="87" t="s">
        <v>682</v>
      </c>
      <c r="N498" s="3">
        <f t="shared" si="124"/>
        <v>356</v>
      </c>
      <c r="O498" s="3">
        <f t="shared" si="120"/>
        <v>356</v>
      </c>
      <c r="P498" s="3"/>
      <c r="Q498" s="3"/>
      <c r="R498" s="3"/>
      <c r="S498" s="3"/>
      <c r="T498" s="3"/>
      <c r="U498" s="3"/>
      <c r="V498" s="3">
        <v>356</v>
      </c>
      <c r="W498" s="3">
        <v>356</v>
      </c>
      <c r="X498" s="3">
        <f t="shared" si="125"/>
        <v>0</v>
      </c>
      <c r="Y498" s="3"/>
      <c r="Z498" s="3"/>
      <c r="AA498" s="3"/>
      <c r="AB498" s="3"/>
      <c r="AC498" s="3">
        <f t="shared" si="126"/>
        <v>0</v>
      </c>
      <c r="AD498" s="3"/>
      <c r="AE498" s="3"/>
      <c r="AF498" s="3"/>
      <c r="AG498" s="3"/>
      <c r="AH498" s="3">
        <f t="shared" si="118"/>
        <v>0</v>
      </c>
      <c r="AI498" s="3"/>
      <c r="AJ498" s="3"/>
      <c r="AK498" s="3"/>
      <c r="AL498" s="3"/>
      <c r="AM498" s="3">
        <f t="shared" si="119"/>
        <v>0</v>
      </c>
      <c r="AN498" s="3"/>
      <c r="AO498" s="3"/>
      <c r="AP498" s="3"/>
      <c r="AQ498" s="3"/>
    </row>
    <row r="499" spans="1:43" ht="35.450000000000003" customHeight="1" thickBot="1">
      <c r="A499" s="72" t="s">
        <v>65</v>
      </c>
      <c r="B499" s="104"/>
      <c r="C499" s="110"/>
      <c r="D499" s="151"/>
      <c r="E499" s="111"/>
      <c r="F499" s="3"/>
      <c r="G499" s="3"/>
      <c r="H499" s="3"/>
      <c r="I499" s="3"/>
      <c r="J499" s="3"/>
      <c r="K499" s="3"/>
      <c r="L499" s="3"/>
      <c r="M499" s="87" t="s">
        <v>683</v>
      </c>
      <c r="N499" s="3">
        <f t="shared" si="124"/>
        <v>220.2</v>
      </c>
      <c r="O499" s="3">
        <f t="shared" si="120"/>
        <v>163.30000000000001</v>
      </c>
      <c r="P499" s="3"/>
      <c r="Q499" s="3"/>
      <c r="R499" s="3"/>
      <c r="S499" s="3"/>
      <c r="T499" s="3"/>
      <c r="U499" s="3"/>
      <c r="V499" s="3">
        <f>30+100+90.2</f>
        <v>220.2</v>
      </c>
      <c r="W499" s="3">
        <v>163.30000000000001</v>
      </c>
      <c r="X499" s="3">
        <f t="shared" si="125"/>
        <v>250</v>
      </c>
      <c r="Y499" s="3"/>
      <c r="Z499" s="3"/>
      <c r="AA499" s="3"/>
      <c r="AB499" s="3">
        <f>100+50+100</f>
        <v>250</v>
      </c>
      <c r="AC499" s="3">
        <f t="shared" si="126"/>
        <v>100</v>
      </c>
      <c r="AD499" s="3"/>
      <c r="AE499" s="3"/>
      <c r="AF499" s="3"/>
      <c r="AG499" s="3">
        <v>100</v>
      </c>
      <c r="AH499" s="3">
        <f t="shared" si="118"/>
        <v>100</v>
      </c>
      <c r="AI499" s="3"/>
      <c r="AJ499" s="3"/>
      <c r="AK499" s="3"/>
      <c r="AL499" s="3">
        <v>100</v>
      </c>
      <c r="AM499" s="3">
        <f t="shared" si="119"/>
        <v>100</v>
      </c>
      <c r="AN499" s="3"/>
      <c r="AO499" s="3"/>
      <c r="AP499" s="3"/>
      <c r="AQ499" s="3">
        <v>100</v>
      </c>
    </row>
    <row r="500" spans="1:43" ht="35.450000000000003" customHeight="1" thickBot="1">
      <c r="A500" s="72" t="s">
        <v>65</v>
      </c>
      <c r="B500" s="104"/>
      <c r="C500" s="110"/>
      <c r="D500" s="151"/>
      <c r="E500" s="111"/>
      <c r="F500" s="3"/>
      <c r="G500" s="3"/>
      <c r="H500" s="3"/>
      <c r="I500" s="64"/>
      <c r="J500" s="3"/>
      <c r="K500" s="3"/>
      <c r="L500" s="3"/>
      <c r="M500" s="87" t="s">
        <v>684</v>
      </c>
      <c r="N500" s="3">
        <f t="shared" si="124"/>
        <v>0</v>
      </c>
      <c r="O500" s="3">
        <f t="shared" si="120"/>
        <v>0</v>
      </c>
      <c r="P500" s="3"/>
      <c r="Q500" s="3"/>
      <c r="R500" s="3"/>
      <c r="S500" s="3"/>
      <c r="T500" s="3"/>
      <c r="U500" s="3"/>
      <c r="V500" s="3"/>
      <c r="W500" s="3"/>
      <c r="X500" s="3">
        <f t="shared" si="125"/>
        <v>0</v>
      </c>
      <c r="Y500" s="3"/>
      <c r="Z500" s="3"/>
      <c r="AA500" s="3"/>
      <c r="AB500" s="3"/>
      <c r="AC500" s="3">
        <f t="shared" si="126"/>
        <v>0</v>
      </c>
      <c r="AD500" s="3"/>
      <c r="AE500" s="3"/>
      <c r="AF500" s="3"/>
      <c r="AG500" s="3"/>
      <c r="AH500" s="3">
        <f t="shared" si="118"/>
        <v>0</v>
      </c>
      <c r="AI500" s="3"/>
      <c r="AJ500" s="3"/>
      <c r="AK500" s="3"/>
      <c r="AL500" s="3"/>
      <c r="AM500" s="3">
        <f t="shared" si="119"/>
        <v>0</v>
      </c>
      <c r="AN500" s="3"/>
      <c r="AO500" s="3"/>
      <c r="AP500" s="3"/>
      <c r="AQ500" s="3"/>
    </row>
    <row r="501" spans="1:43" ht="35.450000000000003" customHeight="1" thickBot="1">
      <c r="A501" s="72" t="s">
        <v>65</v>
      </c>
      <c r="B501" s="104"/>
      <c r="C501" s="110"/>
      <c r="D501" s="151"/>
      <c r="E501" s="111"/>
      <c r="F501" s="3"/>
      <c r="G501" s="3"/>
      <c r="H501" s="3"/>
      <c r="I501" s="64"/>
      <c r="J501" s="3"/>
      <c r="K501" s="3"/>
      <c r="L501" s="3"/>
      <c r="M501" s="87" t="s">
        <v>685</v>
      </c>
      <c r="N501" s="3">
        <f t="shared" si="124"/>
        <v>900</v>
      </c>
      <c r="O501" s="3">
        <f t="shared" si="120"/>
        <v>900</v>
      </c>
      <c r="P501" s="3"/>
      <c r="Q501" s="3"/>
      <c r="R501" s="3"/>
      <c r="S501" s="3"/>
      <c r="T501" s="3"/>
      <c r="U501" s="3"/>
      <c r="V501" s="3">
        <f>300+200+200+200+640-640</f>
        <v>900</v>
      </c>
      <c r="W501" s="3">
        <v>900</v>
      </c>
      <c r="X501" s="3">
        <f t="shared" si="125"/>
        <v>1094</v>
      </c>
      <c r="Y501" s="3"/>
      <c r="Z501" s="3"/>
      <c r="AA501" s="3"/>
      <c r="AB501" s="3">
        <f>500+594</f>
        <v>1094</v>
      </c>
      <c r="AC501" s="3">
        <f t="shared" si="126"/>
        <v>1500</v>
      </c>
      <c r="AD501" s="3"/>
      <c r="AE501" s="3"/>
      <c r="AF501" s="3"/>
      <c r="AG501" s="3">
        <v>1500</v>
      </c>
      <c r="AH501" s="3">
        <f t="shared" si="118"/>
        <v>1500</v>
      </c>
      <c r="AI501" s="3"/>
      <c r="AJ501" s="3"/>
      <c r="AK501" s="3"/>
      <c r="AL501" s="3">
        <v>1500</v>
      </c>
      <c r="AM501" s="3">
        <f t="shared" si="119"/>
        <v>1500</v>
      </c>
      <c r="AN501" s="3"/>
      <c r="AO501" s="3"/>
      <c r="AP501" s="3"/>
      <c r="AQ501" s="3">
        <v>1500</v>
      </c>
    </row>
    <row r="502" spans="1:43" ht="35.450000000000003" customHeight="1" thickBot="1">
      <c r="A502" s="72" t="s">
        <v>65</v>
      </c>
      <c r="B502" s="104"/>
      <c r="C502" s="110"/>
      <c r="D502" s="151"/>
      <c r="E502" s="111"/>
      <c r="F502" s="3"/>
      <c r="G502" s="3"/>
      <c r="H502" s="3"/>
      <c r="I502" s="4"/>
      <c r="J502" s="3"/>
      <c r="K502" s="3"/>
      <c r="L502" s="3"/>
      <c r="M502" s="87" t="s">
        <v>686</v>
      </c>
      <c r="N502" s="3">
        <f t="shared" si="124"/>
        <v>0</v>
      </c>
      <c r="O502" s="3">
        <f t="shared" si="120"/>
        <v>0</v>
      </c>
      <c r="P502" s="3"/>
      <c r="Q502" s="3"/>
      <c r="R502" s="3"/>
      <c r="S502" s="3"/>
      <c r="T502" s="3"/>
      <c r="U502" s="3"/>
      <c r="V502" s="3"/>
      <c r="W502" s="3"/>
      <c r="X502" s="3">
        <f t="shared" si="125"/>
        <v>0</v>
      </c>
      <c r="Y502" s="3"/>
      <c r="Z502" s="3"/>
      <c r="AA502" s="3"/>
      <c r="AB502" s="3"/>
      <c r="AC502" s="3">
        <f t="shared" si="126"/>
        <v>0</v>
      </c>
      <c r="AD502" s="3"/>
      <c r="AE502" s="3"/>
      <c r="AF502" s="3"/>
      <c r="AG502" s="3"/>
      <c r="AH502" s="3">
        <f t="shared" si="118"/>
        <v>0</v>
      </c>
      <c r="AI502" s="3"/>
      <c r="AJ502" s="3"/>
      <c r="AK502" s="3"/>
      <c r="AL502" s="3"/>
      <c r="AM502" s="3">
        <f t="shared" si="119"/>
        <v>0</v>
      </c>
      <c r="AN502" s="3"/>
      <c r="AO502" s="3"/>
      <c r="AP502" s="3"/>
      <c r="AQ502" s="3"/>
    </row>
    <row r="503" spans="1:43" ht="35.450000000000003" customHeight="1" thickBot="1">
      <c r="A503" s="72" t="s">
        <v>65</v>
      </c>
      <c r="B503" s="104"/>
      <c r="C503" s="110"/>
      <c r="D503" s="151"/>
      <c r="E503" s="111"/>
      <c r="F503" s="3"/>
      <c r="G503" s="3"/>
      <c r="H503" s="3"/>
      <c r="I503" s="154"/>
      <c r="J503" s="141"/>
      <c r="K503" s="141"/>
      <c r="L503" s="3"/>
      <c r="M503" s="87" t="s">
        <v>687</v>
      </c>
      <c r="N503" s="3"/>
      <c r="O503" s="3">
        <f t="shared" si="120"/>
        <v>0</v>
      </c>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row>
    <row r="504" spans="1:43" ht="35.450000000000003" customHeight="1" thickBot="1">
      <c r="A504" s="72" t="s">
        <v>65</v>
      </c>
      <c r="B504" s="104"/>
      <c r="C504" s="116"/>
      <c r="D504" s="162"/>
      <c r="E504" s="117"/>
      <c r="F504" s="3"/>
      <c r="G504" s="3"/>
      <c r="H504" s="3"/>
      <c r="I504" s="154"/>
      <c r="J504" s="141"/>
      <c r="K504" s="141"/>
      <c r="L504" s="3"/>
      <c r="M504" s="87" t="s">
        <v>688</v>
      </c>
      <c r="N504" s="3"/>
      <c r="O504" s="3">
        <f t="shared" si="120"/>
        <v>0</v>
      </c>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row>
    <row r="505" spans="1:43" ht="35.450000000000003" customHeight="1" thickBot="1">
      <c r="A505" s="72" t="s">
        <v>689</v>
      </c>
      <c r="B505" s="104"/>
      <c r="C505" s="71"/>
      <c r="D505" s="3"/>
      <c r="E505" s="3"/>
      <c r="F505" s="3"/>
      <c r="G505" s="3"/>
      <c r="H505" s="3"/>
      <c r="I505" s="154"/>
      <c r="J505" s="141"/>
      <c r="K505" s="141"/>
      <c r="L505" s="3"/>
      <c r="M505" s="87" t="s">
        <v>690</v>
      </c>
      <c r="N505" s="3"/>
      <c r="O505" s="3">
        <f t="shared" si="120"/>
        <v>0</v>
      </c>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row>
    <row r="506" spans="1:43" ht="35.450000000000003" customHeight="1" thickBot="1">
      <c r="A506" s="72" t="s">
        <v>689</v>
      </c>
      <c r="B506" s="104"/>
      <c r="C506" s="71"/>
      <c r="D506" s="3"/>
      <c r="E506" s="3"/>
      <c r="F506" s="3"/>
      <c r="G506" s="3"/>
      <c r="H506" s="3"/>
      <c r="I506" s="154"/>
      <c r="J506" s="141"/>
      <c r="K506" s="141"/>
      <c r="L506" s="3"/>
      <c r="M506" s="87" t="s">
        <v>691</v>
      </c>
      <c r="N506" s="3"/>
      <c r="O506" s="3">
        <f t="shared" si="120"/>
        <v>0</v>
      </c>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row>
    <row r="507" spans="1:43" ht="35.450000000000003" customHeight="1" thickBot="1">
      <c r="A507" s="72" t="s">
        <v>98</v>
      </c>
      <c r="B507" s="104"/>
      <c r="C507" s="18"/>
      <c r="D507" s="106"/>
      <c r="E507" s="106"/>
      <c r="F507" s="3"/>
      <c r="G507" s="3"/>
      <c r="H507" s="3"/>
      <c r="I507" s="82"/>
      <c r="J507" s="261"/>
      <c r="K507" s="262"/>
      <c r="L507" s="3"/>
      <c r="M507" s="87" t="s">
        <v>692</v>
      </c>
      <c r="N507" s="3">
        <f>P507+R507+T507+V507</f>
        <v>0</v>
      </c>
      <c r="O507" s="3">
        <f t="shared" si="120"/>
        <v>0</v>
      </c>
      <c r="P507" s="3"/>
      <c r="Q507" s="3"/>
      <c r="R507" s="3"/>
      <c r="S507" s="3"/>
      <c r="T507" s="3"/>
      <c r="U507" s="3"/>
      <c r="V507" s="3"/>
      <c r="W507" s="3"/>
      <c r="X507" s="3">
        <f>Y507+Z507+AA507+AB507</f>
        <v>0</v>
      </c>
      <c r="Y507" s="3"/>
      <c r="Z507" s="3"/>
      <c r="AA507" s="3"/>
      <c r="AB507" s="3"/>
      <c r="AC507" s="3">
        <f>AD507+AE507+AF507+AG507</f>
        <v>0</v>
      </c>
      <c r="AD507" s="3"/>
      <c r="AE507" s="3"/>
      <c r="AF507" s="3"/>
      <c r="AG507" s="3"/>
      <c r="AH507" s="3">
        <f t="shared" si="118"/>
        <v>0</v>
      </c>
      <c r="AI507" s="3"/>
      <c r="AJ507" s="3"/>
      <c r="AK507" s="3"/>
      <c r="AL507" s="3"/>
      <c r="AM507" s="3">
        <f t="shared" si="119"/>
        <v>0</v>
      </c>
      <c r="AN507" s="3"/>
      <c r="AO507" s="3"/>
      <c r="AP507" s="3"/>
      <c r="AQ507" s="3"/>
    </row>
    <row r="508" spans="1:43" ht="35.450000000000003" customHeight="1" thickBot="1">
      <c r="A508" s="72" t="s">
        <v>98</v>
      </c>
      <c r="B508" s="104"/>
      <c r="C508" s="150"/>
      <c r="D508" s="111"/>
      <c r="E508" s="111"/>
      <c r="F508" s="3"/>
      <c r="G508" s="3"/>
      <c r="H508" s="3"/>
      <c r="I508" s="89"/>
      <c r="J508" s="263"/>
      <c r="K508" s="264"/>
      <c r="L508" s="3"/>
      <c r="M508" s="87" t="s">
        <v>693</v>
      </c>
      <c r="N508" s="3">
        <f>P508+R508+T508+V508</f>
        <v>635</v>
      </c>
      <c r="O508" s="3">
        <f t="shared" si="120"/>
        <v>605</v>
      </c>
      <c r="P508" s="3"/>
      <c r="Q508" s="3"/>
      <c r="R508" s="3"/>
      <c r="S508" s="3"/>
      <c r="T508" s="3"/>
      <c r="U508" s="3"/>
      <c r="V508" s="3">
        <f>600+500+105-570</f>
        <v>635</v>
      </c>
      <c r="W508" s="3">
        <v>605</v>
      </c>
      <c r="X508" s="3">
        <f>Y508+Z508+AA508+AB508</f>
        <v>6799.3</v>
      </c>
      <c r="Y508" s="3"/>
      <c r="Z508" s="3"/>
      <c r="AA508" s="3"/>
      <c r="AB508" s="3">
        <f>2200+4700+110-210.7</f>
        <v>6799.3</v>
      </c>
      <c r="AC508" s="3">
        <f>AD508+AE508+AF508+AG508</f>
        <v>0</v>
      </c>
      <c r="AD508" s="3"/>
      <c r="AE508" s="3"/>
      <c r="AF508" s="3"/>
      <c r="AG508" s="3">
        <v>0</v>
      </c>
      <c r="AH508" s="3">
        <f t="shared" si="118"/>
        <v>0</v>
      </c>
      <c r="AI508" s="3"/>
      <c r="AJ508" s="3"/>
      <c r="AK508" s="3"/>
      <c r="AL508" s="3">
        <v>0</v>
      </c>
      <c r="AM508" s="3">
        <f t="shared" si="119"/>
        <v>0</v>
      </c>
      <c r="AN508" s="3"/>
      <c r="AO508" s="3"/>
      <c r="AP508" s="3"/>
      <c r="AQ508" s="3">
        <v>0</v>
      </c>
    </row>
    <row r="509" spans="1:43" ht="35.450000000000003" customHeight="1" thickBot="1">
      <c r="A509" s="72" t="s">
        <v>98</v>
      </c>
      <c r="B509" s="104"/>
      <c r="C509" s="150"/>
      <c r="D509" s="111"/>
      <c r="E509" s="111"/>
      <c r="F509" s="3"/>
      <c r="G509" s="3"/>
      <c r="H509" s="3"/>
      <c r="I509" s="265"/>
      <c r="J509" s="166"/>
      <c r="K509" s="166"/>
      <c r="L509" s="3"/>
      <c r="M509" s="87" t="s">
        <v>694</v>
      </c>
      <c r="N509" s="3">
        <f>P509+R509+T509+V509</f>
        <v>3446</v>
      </c>
      <c r="O509" s="3">
        <f t="shared" si="120"/>
        <v>3446</v>
      </c>
      <c r="P509" s="3"/>
      <c r="Q509" s="3"/>
      <c r="R509" s="3"/>
      <c r="S509" s="3"/>
      <c r="T509" s="3"/>
      <c r="U509" s="3"/>
      <c r="V509" s="3">
        <f>250+3500-304</f>
        <v>3446</v>
      </c>
      <c r="W509" s="3">
        <v>3446</v>
      </c>
      <c r="X509" s="3">
        <f>Y509+Z509+AA509+AB509</f>
        <v>0</v>
      </c>
      <c r="Y509" s="3"/>
      <c r="Z509" s="3"/>
      <c r="AA509" s="3"/>
      <c r="AB509" s="3">
        <v>0</v>
      </c>
      <c r="AC509" s="3">
        <f>AD509+AE509+AF509+AG509</f>
        <v>0</v>
      </c>
      <c r="AD509" s="3"/>
      <c r="AE509" s="3"/>
      <c r="AF509" s="3"/>
      <c r="AG509" s="3">
        <v>0</v>
      </c>
      <c r="AH509" s="3">
        <f t="shared" si="118"/>
        <v>0</v>
      </c>
      <c r="AI509" s="3"/>
      <c r="AJ509" s="3"/>
      <c r="AK509" s="3"/>
      <c r="AL509" s="3">
        <v>0</v>
      </c>
      <c r="AM509" s="3">
        <f t="shared" si="119"/>
        <v>0</v>
      </c>
      <c r="AN509" s="3"/>
      <c r="AO509" s="3"/>
      <c r="AP509" s="3"/>
      <c r="AQ509" s="3">
        <v>0</v>
      </c>
    </row>
    <row r="510" spans="1:43" ht="35.450000000000003" customHeight="1" thickBot="1">
      <c r="A510" s="266" t="s">
        <v>695</v>
      </c>
      <c r="B510" s="104"/>
      <c r="C510" s="150"/>
      <c r="D510" s="111"/>
      <c r="E510" s="111"/>
      <c r="F510" s="3"/>
      <c r="G510" s="3"/>
      <c r="H510" s="3"/>
      <c r="I510" s="265"/>
      <c r="J510" s="166"/>
      <c r="K510" s="166"/>
      <c r="L510" s="3"/>
      <c r="M510" s="87" t="s">
        <v>696</v>
      </c>
      <c r="N510" s="3"/>
      <c r="O510" s="3">
        <f t="shared" si="120"/>
        <v>0</v>
      </c>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row>
    <row r="511" spans="1:43" ht="35.450000000000003" customHeight="1" thickBot="1">
      <c r="A511" s="266" t="s">
        <v>695</v>
      </c>
      <c r="B511" s="104"/>
      <c r="C511" s="150"/>
      <c r="D511" s="111"/>
      <c r="E511" s="111"/>
      <c r="F511" s="3"/>
      <c r="G511" s="3"/>
      <c r="H511" s="3"/>
      <c r="I511" s="265"/>
      <c r="J511" s="166"/>
      <c r="K511" s="166"/>
      <c r="L511" s="3"/>
      <c r="M511" s="87" t="s">
        <v>697</v>
      </c>
      <c r="N511" s="3"/>
      <c r="O511" s="3">
        <f t="shared" si="120"/>
        <v>0</v>
      </c>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row>
    <row r="512" spans="1:43" ht="35.450000000000003" customHeight="1" thickBot="1">
      <c r="A512" s="266" t="s">
        <v>695</v>
      </c>
      <c r="B512" s="104"/>
      <c r="C512" s="150"/>
      <c r="D512" s="111"/>
      <c r="E512" s="111"/>
      <c r="F512" s="3"/>
      <c r="G512" s="3"/>
      <c r="H512" s="3"/>
      <c r="I512" s="265"/>
      <c r="J512" s="166"/>
      <c r="K512" s="166"/>
      <c r="L512" s="3"/>
      <c r="M512" s="87" t="s">
        <v>698</v>
      </c>
      <c r="N512" s="3"/>
      <c r="O512" s="3">
        <f t="shared" si="120"/>
        <v>0</v>
      </c>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row>
    <row r="513" spans="1:43" ht="35.450000000000003" customHeight="1" thickBot="1">
      <c r="A513" s="72" t="s">
        <v>98</v>
      </c>
      <c r="B513" s="104"/>
      <c r="C513" s="150"/>
      <c r="D513" s="111"/>
      <c r="E513" s="111"/>
      <c r="F513" s="3"/>
      <c r="G513" s="3"/>
      <c r="H513" s="3"/>
      <c r="I513" s="265"/>
      <c r="J513" s="166"/>
      <c r="K513" s="166"/>
      <c r="L513" s="3"/>
      <c r="M513" s="87" t="s">
        <v>699</v>
      </c>
      <c r="N513" s="3">
        <f t="shared" ref="N513:N538" si="127">P513+R513+T513+V513</f>
        <v>0</v>
      </c>
      <c r="O513" s="3">
        <f t="shared" si="120"/>
        <v>0</v>
      </c>
      <c r="P513" s="3"/>
      <c r="Q513" s="3"/>
      <c r="R513" s="3"/>
      <c r="S513" s="3"/>
      <c r="T513" s="3"/>
      <c r="U513" s="3"/>
      <c r="V513" s="3"/>
      <c r="W513" s="3"/>
      <c r="X513" s="3">
        <f t="shared" ref="X513:X529" si="128">Y513+Z513+AA513+AB513</f>
        <v>0</v>
      </c>
      <c r="Y513" s="3"/>
      <c r="Z513" s="3"/>
      <c r="AA513" s="3"/>
      <c r="AB513" s="3"/>
      <c r="AC513" s="3">
        <f>AD513+AE513+AF513+AG513</f>
        <v>0</v>
      </c>
      <c r="AD513" s="3"/>
      <c r="AE513" s="3"/>
      <c r="AF513" s="3"/>
      <c r="AG513" s="3"/>
      <c r="AH513" s="3">
        <f t="shared" si="118"/>
        <v>0</v>
      </c>
      <c r="AI513" s="3"/>
      <c r="AJ513" s="3"/>
      <c r="AK513" s="3"/>
      <c r="AL513" s="3"/>
      <c r="AM513" s="3">
        <f t="shared" si="119"/>
        <v>0</v>
      </c>
      <c r="AN513" s="3"/>
      <c r="AO513" s="3"/>
      <c r="AP513" s="3"/>
      <c r="AQ513" s="3"/>
    </row>
    <row r="514" spans="1:43" ht="35.450000000000003" customHeight="1" thickBot="1">
      <c r="A514" s="72"/>
      <c r="B514" s="104"/>
      <c r="C514" s="150"/>
      <c r="D514" s="111"/>
      <c r="E514" s="111"/>
      <c r="F514" s="3"/>
      <c r="G514" s="3"/>
      <c r="H514" s="3"/>
      <c r="I514" s="4" t="s">
        <v>700</v>
      </c>
      <c r="J514" s="267"/>
      <c r="K514" s="267"/>
      <c r="L514" s="3"/>
      <c r="M514" s="87" t="s">
        <v>701</v>
      </c>
      <c r="N514" s="3">
        <f t="shared" si="127"/>
        <v>39.5</v>
      </c>
      <c r="O514" s="3">
        <f t="shared" si="120"/>
        <v>39.5</v>
      </c>
      <c r="P514" s="3"/>
      <c r="Q514" s="3"/>
      <c r="R514" s="3"/>
      <c r="S514" s="3"/>
      <c r="T514" s="3"/>
      <c r="U514" s="3"/>
      <c r="V514" s="3">
        <v>39.5</v>
      </c>
      <c r="W514" s="3">
        <v>39.5</v>
      </c>
      <c r="X514" s="3"/>
      <c r="Y514" s="3"/>
      <c r="Z514" s="3"/>
      <c r="AA514" s="3"/>
      <c r="AB514" s="3"/>
      <c r="AC514" s="3"/>
      <c r="AD514" s="3"/>
      <c r="AE514" s="3"/>
      <c r="AF514" s="3"/>
      <c r="AG514" s="3"/>
      <c r="AH514" s="3"/>
      <c r="AI514" s="3"/>
      <c r="AJ514" s="3"/>
      <c r="AK514" s="3"/>
      <c r="AL514" s="3"/>
      <c r="AM514" s="3"/>
      <c r="AN514" s="3"/>
      <c r="AO514" s="3"/>
      <c r="AP514" s="3"/>
      <c r="AQ514" s="3"/>
    </row>
    <row r="515" spans="1:43" ht="35.450000000000003" customHeight="1" thickBot="1">
      <c r="A515" s="72" t="s">
        <v>65</v>
      </c>
      <c r="B515" s="104"/>
      <c r="C515" s="150"/>
      <c r="D515" s="111"/>
      <c r="E515" s="111"/>
      <c r="F515" s="131" t="s">
        <v>1304</v>
      </c>
      <c r="G515" s="131" t="s">
        <v>153</v>
      </c>
      <c r="H515" s="131" t="s">
        <v>1305</v>
      </c>
      <c r="I515" s="131" t="s">
        <v>1306</v>
      </c>
      <c r="J515" s="131" t="s">
        <v>153</v>
      </c>
      <c r="K515" s="131" t="s">
        <v>1307</v>
      </c>
      <c r="L515" s="3"/>
      <c r="M515" s="87" t="s">
        <v>702</v>
      </c>
      <c r="N515" s="3">
        <f t="shared" si="127"/>
        <v>16739.699999999997</v>
      </c>
      <c r="O515" s="3">
        <f t="shared" si="120"/>
        <v>16739.699999999997</v>
      </c>
      <c r="P515" s="3">
        <v>15035.8</v>
      </c>
      <c r="Q515" s="3">
        <v>15035.8</v>
      </c>
      <c r="R515" s="3">
        <v>791.4</v>
      </c>
      <c r="S515" s="3">
        <v>791.4</v>
      </c>
      <c r="T515" s="3"/>
      <c r="U515" s="3"/>
      <c r="V515" s="3">
        <v>912.5</v>
      </c>
      <c r="W515" s="3">
        <v>912.5</v>
      </c>
      <c r="X515" s="3">
        <f t="shared" si="128"/>
        <v>16886.2</v>
      </c>
      <c r="Y515" s="3">
        <v>15158.7</v>
      </c>
      <c r="Z515" s="3">
        <v>967.6</v>
      </c>
      <c r="AA515" s="3"/>
      <c r="AB515" s="3">
        <v>759.9</v>
      </c>
      <c r="AC515" s="3">
        <f>AD515+AE515+AF515+AG515</f>
        <v>16307.099999999999</v>
      </c>
      <c r="AD515" s="3">
        <v>14016</v>
      </c>
      <c r="AE515" s="3">
        <v>1557.3</v>
      </c>
      <c r="AF515" s="3"/>
      <c r="AG515" s="3">
        <v>733.8</v>
      </c>
      <c r="AH515" s="3">
        <f t="shared" si="118"/>
        <v>15657.2</v>
      </c>
      <c r="AI515" s="3">
        <v>12859.2</v>
      </c>
      <c r="AJ515" s="3">
        <v>2093.4</v>
      </c>
      <c r="AK515" s="3"/>
      <c r="AL515" s="3">
        <v>704.6</v>
      </c>
      <c r="AM515" s="3">
        <f t="shared" si="119"/>
        <v>15657.2</v>
      </c>
      <c r="AN515" s="3">
        <v>12859.2</v>
      </c>
      <c r="AO515" s="3">
        <v>2093.4</v>
      </c>
      <c r="AP515" s="3"/>
      <c r="AQ515" s="3">
        <v>704.6</v>
      </c>
    </row>
    <row r="516" spans="1:43" ht="35.450000000000003" customHeight="1" thickBot="1">
      <c r="A516" s="72" t="s">
        <v>65</v>
      </c>
      <c r="B516" s="104"/>
      <c r="C516" s="150"/>
      <c r="D516" s="111"/>
      <c r="E516" s="111"/>
      <c r="F516" s="3"/>
      <c r="G516" s="3"/>
      <c r="H516" s="3"/>
      <c r="I516" s="4"/>
      <c r="J516" s="3"/>
      <c r="K516" s="3"/>
      <c r="L516" s="3"/>
      <c r="M516" s="87" t="s">
        <v>703</v>
      </c>
      <c r="N516" s="3">
        <f t="shared" si="127"/>
        <v>0</v>
      </c>
      <c r="O516" s="3">
        <f t="shared" si="120"/>
        <v>0</v>
      </c>
      <c r="P516" s="3"/>
      <c r="Q516" s="3"/>
      <c r="R516" s="3"/>
      <c r="S516" s="3"/>
      <c r="T516" s="3"/>
      <c r="U516" s="3"/>
      <c r="V516" s="3"/>
      <c r="W516" s="3"/>
      <c r="X516" s="3">
        <f t="shared" si="128"/>
        <v>0</v>
      </c>
      <c r="Y516" s="3"/>
      <c r="Z516" s="3"/>
      <c r="AA516" s="3"/>
      <c r="AB516" s="3"/>
      <c r="AC516" s="3">
        <f>AD516+AE516+AF516+AG516</f>
        <v>0</v>
      </c>
      <c r="AD516" s="3"/>
      <c r="AE516" s="3"/>
      <c r="AF516" s="3"/>
      <c r="AG516" s="3"/>
      <c r="AH516" s="3">
        <f t="shared" si="118"/>
        <v>0</v>
      </c>
      <c r="AI516" s="3"/>
      <c r="AJ516" s="3"/>
      <c r="AK516" s="3"/>
      <c r="AL516" s="3"/>
      <c r="AM516" s="3">
        <f t="shared" si="119"/>
        <v>0</v>
      </c>
      <c r="AN516" s="3"/>
      <c r="AO516" s="3"/>
      <c r="AP516" s="3"/>
      <c r="AQ516" s="3"/>
    </row>
    <row r="517" spans="1:43" ht="35.450000000000003" customHeight="1" thickBot="1">
      <c r="A517" s="72"/>
      <c r="B517" s="104"/>
      <c r="C517" s="150"/>
      <c r="D517" s="111"/>
      <c r="E517" s="111"/>
      <c r="F517" s="3"/>
      <c r="G517" s="3"/>
      <c r="H517" s="3"/>
      <c r="I517" s="4"/>
      <c r="J517" s="3"/>
      <c r="K517" s="3"/>
      <c r="L517" s="3"/>
      <c r="M517" s="87" t="s">
        <v>704</v>
      </c>
      <c r="N517" s="3">
        <f t="shared" si="127"/>
        <v>101010.1</v>
      </c>
      <c r="O517" s="3">
        <f t="shared" si="120"/>
        <v>100240.5</v>
      </c>
      <c r="P517" s="3"/>
      <c r="Q517" s="3"/>
      <c r="R517" s="3">
        <v>100000</v>
      </c>
      <c r="S517" s="3">
        <v>99238.1</v>
      </c>
      <c r="T517" s="3"/>
      <c r="U517" s="3"/>
      <c r="V517" s="3">
        <v>1010.1</v>
      </c>
      <c r="W517" s="3">
        <v>1002.4</v>
      </c>
      <c r="X517" s="3"/>
      <c r="Y517" s="3"/>
      <c r="Z517" s="3"/>
      <c r="AA517" s="3"/>
      <c r="AB517" s="3"/>
      <c r="AC517" s="3"/>
      <c r="AD517" s="3"/>
      <c r="AE517" s="3"/>
      <c r="AF517" s="3"/>
      <c r="AG517" s="3"/>
      <c r="AH517" s="3"/>
      <c r="AI517" s="3"/>
      <c r="AJ517" s="3"/>
      <c r="AK517" s="3"/>
      <c r="AL517" s="3"/>
      <c r="AM517" s="3"/>
      <c r="AN517" s="3"/>
      <c r="AO517" s="3"/>
      <c r="AP517" s="3"/>
      <c r="AQ517" s="3"/>
    </row>
    <row r="518" spans="1:43" ht="35.450000000000003" customHeight="1" thickBot="1">
      <c r="A518" s="72" t="s">
        <v>65</v>
      </c>
      <c r="B518" s="104"/>
      <c r="C518" s="150"/>
      <c r="D518" s="111"/>
      <c r="E518" s="111"/>
      <c r="F518" s="3"/>
      <c r="G518" s="3"/>
      <c r="H518" s="3"/>
      <c r="I518" s="4"/>
      <c r="J518" s="3"/>
      <c r="K518" s="3"/>
      <c r="L518" s="3"/>
      <c r="M518" s="87" t="s">
        <v>705</v>
      </c>
      <c r="N518" s="3">
        <f t="shared" si="127"/>
        <v>0</v>
      </c>
      <c r="O518" s="3">
        <f t="shared" si="120"/>
        <v>0</v>
      </c>
      <c r="P518" s="3"/>
      <c r="Q518" s="3"/>
      <c r="R518" s="3"/>
      <c r="S518" s="3"/>
      <c r="T518" s="3"/>
      <c r="U518" s="3"/>
      <c r="V518" s="3"/>
      <c r="W518" s="3"/>
      <c r="X518" s="3">
        <f t="shared" si="128"/>
        <v>0</v>
      </c>
      <c r="Y518" s="3"/>
      <c r="Z518" s="3"/>
      <c r="AA518" s="3"/>
      <c r="AB518" s="3"/>
      <c r="AC518" s="3">
        <f t="shared" ref="AC518:AC526" si="129">AD518+AE518+AF518+AG518</f>
        <v>0</v>
      </c>
      <c r="AD518" s="3"/>
      <c r="AE518" s="3"/>
      <c r="AF518" s="3"/>
      <c r="AG518" s="3"/>
      <c r="AH518" s="3">
        <f t="shared" si="118"/>
        <v>0</v>
      </c>
      <c r="AI518" s="3"/>
      <c r="AJ518" s="3"/>
      <c r="AK518" s="3"/>
      <c r="AL518" s="3"/>
      <c r="AM518" s="3">
        <f t="shared" si="119"/>
        <v>0</v>
      </c>
      <c r="AN518" s="3"/>
      <c r="AO518" s="3"/>
      <c r="AP518" s="3"/>
      <c r="AQ518" s="3"/>
    </row>
    <row r="519" spans="1:43" ht="35.450000000000003" customHeight="1" thickBot="1">
      <c r="A519" s="72" t="s">
        <v>65</v>
      </c>
      <c r="B519" s="104"/>
      <c r="C519" s="150"/>
      <c r="D519" s="111"/>
      <c r="E519" s="111"/>
      <c r="F519" s="3"/>
      <c r="G519" s="3"/>
      <c r="H519" s="3"/>
      <c r="I519" s="3"/>
      <c r="J519" s="3"/>
      <c r="K519" s="3"/>
      <c r="L519" s="3"/>
      <c r="M519" s="87" t="s">
        <v>706</v>
      </c>
      <c r="N519" s="3">
        <f t="shared" si="127"/>
        <v>0</v>
      </c>
      <c r="O519" s="3">
        <f t="shared" si="120"/>
        <v>0</v>
      </c>
      <c r="P519" s="3"/>
      <c r="Q519" s="3"/>
      <c r="R519" s="3"/>
      <c r="S519" s="3"/>
      <c r="T519" s="3"/>
      <c r="U519" s="3"/>
      <c r="V519" s="3"/>
      <c r="W519" s="3"/>
      <c r="X519" s="3">
        <f t="shared" si="128"/>
        <v>0</v>
      </c>
      <c r="Y519" s="3"/>
      <c r="Z519" s="3"/>
      <c r="AA519" s="3"/>
      <c r="AB519" s="3"/>
      <c r="AC519" s="3">
        <f t="shared" si="129"/>
        <v>0</v>
      </c>
      <c r="AD519" s="3"/>
      <c r="AE519" s="3"/>
      <c r="AF519" s="3"/>
      <c r="AG519" s="3"/>
      <c r="AH519" s="3">
        <f t="shared" si="118"/>
        <v>0</v>
      </c>
      <c r="AI519" s="3"/>
      <c r="AJ519" s="3"/>
      <c r="AK519" s="3"/>
      <c r="AL519" s="3"/>
      <c r="AM519" s="3">
        <f t="shared" si="119"/>
        <v>0</v>
      </c>
      <c r="AN519" s="3"/>
      <c r="AO519" s="3"/>
      <c r="AP519" s="3"/>
      <c r="AQ519" s="3"/>
    </row>
    <row r="520" spans="1:43" ht="35.450000000000003" customHeight="1" thickBot="1">
      <c r="A520" s="72" t="s">
        <v>65</v>
      </c>
      <c r="B520" s="104"/>
      <c r="C520" s="150"/>
      <c r="D520" s="111"/>
      <c r="E520" s="111"/>
      <c r="F520" s="3"/>
      <c r="G520" s="3"/>
      <c r="H520" s="3"/>
      <c r="I520" s="3"/>
      <c r="J520" s="3"/>
      <c r="K520" s="3"/>
      <c r="L520" s="3"/>
      <c r="M520" s="87" t="s">
        <v>707</v>
      </c>
      <c r="N520" s="3">
        <f t="shared" si="127"/>
        <v>0</v>
      </c>
      <c r="O520" s="3">
        <f t="shared" si="120"/>
        <v>0</v>
      </c>
      <c r="P520" s="3"/>
      <c r="Q520" s="3"/>
      <c r="R520" s="3"/>
      <c r="S520" s="3"/>
      <c r="T520" s="3"/>
      <c r="U520" s="3"/>
      <c r="V520" s="3"/>
      <c r="W520" s="3"/>
      <c r="X520" s="3">
        <f t="shared" si="128"/>
        <v>0</v>
      </c>
      <c r="Y520" s="3"/>
      <c r="Z520" s="3"/>
      <c r="AA520" s="3"/>
      <c r="AB520" s="3"/>
      <c r="AC520" s="3">
        <f t="shared" si="129"/>
        <v>0</v>
      </c>
      <c r="AD520" s="3"/>
      <c r="AE520" s="3"/>
      <c r="AF520" s="3"/>
      <c r="AG520" s="3"/>
      <c r="AH520" s="3">
        <f t="shared" si="118"/>
        <v>0</v>
      </c>
      <c r="AI520" s="3"/>
      <c r="AJ520" s="3"/>
      <c r="AK520" s="3"/>
      <c r="AL520" s="3"/>
      <c r="AM520" s="3">
        <f t="shared" si="119"/>
        <v>0</v>
      </c>
      <c r="AN520" s="3"/>
      <c r="AO520" s="3"/>
      <c r="AP520" s="3"/>
      <c r="AQ520" s="3"/>
    </row>
    <row r="521" spans="1:43" ht="35.450000000000003" customHeight="1" thickBot="1">
      <c r="A521" s="72" t="s">
        <v>65</v>
      </c>
      <c r="B521" s="104"/>
      <c r="C521" s="150"/>
      <c r="D521" s="111"/>
      <c r="E521" s="111"/>
      <c r="F521" s="3"/>
      <c r="G521" s="3"/>
      <c r="H521" s="3"/>
      <c r="I521" s="3"/>
      <c r="J521" s="3"/>
      <c r="K521" s="3"/>
      <c r="L521" s="3"/>
      <c r="M521" s="87" t="s">
        <v>708</v>
      </c>
      <c r="N521" s="3">
        <f t="shared" si="127"/>
        <v>0</v>
      </c>
      <c r="O521" s="3">
        <f t="shared" si="120"/>
        <v>0</v>
      </c>
      <c r="P521" s="3"/>
      <c r="Q521" s="3"/>
      <c r="R521" s="3"/>
      <c r="S521" s="3"/>
      <c r="T521" s="3"/>
      <c r="U521" s="3"/>
      <c r="V521" s="3"/>
      <c r="W521" s="3"/>
      <c r="X521" s="3">
        <f t="shared" si="128"/>
        <v>0</v>
      </c>
      <c r="Y521" s="3"/>
      <c r="Z521" s="3"/>
      <c r="AA521" s="3"/>
      <c r="AB521" s="3"/>
      <c r="AC521" s="3">
        <f t="shared" si="129"/>
        <v>0</v>
      </c>
      <c r="AD521" s="3"/>
      <c r="AE521" s="3"/>
      <c r="AF521" s="3"/>
      <c r="AG521" s="3"/>
      <c r="AH521" s="3">
        <f t="shared" si="118"/>
        <v>0</v>
      </c>
      <c r="AI521" s="3"/>
      <c r="AJ521" s="3"/>
      <c r="AK521" s="3"/>
      <c r="AL521" s="3"/>
      <c r="AM521" s="3">
        <f t="shared" si="119"/>
        <v>0</v>
      </c>
      <c r="AN521" s="3"/>
      <c r="AO521" s="3"/>
      <c r="AP521" s="3"/>
      <c r="AQ521" s="3"/>
    </row>
    <row r="522" spans="1:43" ht="35.450000000000003" customHeight="1" thickBot="1">
      <c r="A522" s="72" t="s">
        <v>65</v>
      </c>
      <c r="B522" s="104"/>
      <c r="C522" s="150"/>
      <c r="D522" s="111"/>
      <c r="E522" s="111"/>
      <c r="F522" s="3"/>
      <c r="G522" s="3"/>
      <c r="H522" s="3"/>
      <c r="I522" s="3"/>
      <c r="J522" s="3"/>
      <c r="K522" s="3"/>
      <c r="L522" s="3"/>
      <c r="M522" s="87" t="s">
        <v>709</v>
      </c>
      <c r="N522" s="3">
        <f t="shared" si="127"/>
        <v>0</v>
      </c>
      <c r="O522" s="3">
        <f t="shared" si="120"/>
        <v>0</v>
      </c>
      <c r="P522" s="3"/>
      <c r="Q522" s="3"/>
      <c r="R522" s="3"/>
      <c r="S522" s="3"/>
      <c r="T522" s="3"/>
      <c r="U522" s="3"/>
      <c r="V522" s="3">
        <v>0</v>
      </c>
      <c r="W522" s="3"/>
      <c r="X522" s="3">
        <f t="shared" si="128"/>
        <v>0</v>
      </c>
      <c r="Y522" s="3"/>
      <c r="Z522" s="3"/>
      <c r="AA522" s="3"/>
      <c r="AB522" s="3">
        <v>0</v>
      </c>
      <c r="AC522" s="3">
        <f t="shared" si="129"/>
        <v>0</v>
      </c>
      <c r="AD522" s="3"/>
      <c r="AE522" s="3"/>
      <c r="AF522" s="3"/>
      <c r="AG522" s="3">
        <v>0</v>
      </c>
      <c r="AH522" s="3">
        <f t="shared" si="118"/>
        <v>0</v>
      </c>
      <c r="AI522" s="3"/>
      <c r="AJ522" s="3"/>
      <c r="AK522" s="3"/>
      <c r="AL522" s="3">
        <v>0</v>
      </c>
      <c r="AM522" s="3">
        <f t="shared" si="119"/>
        <v>0</v>
      </c>
      <c r="AN522" s="3"/>
      <c r="AO522" s="3"/>
      <c r="AP522" s="3"/>
      <c r="AQ522" s="3">
        <v>0</v>
      </c>
    </row>
    <row r="523" spans="1:43" ht="35.450000000000003" customHeight="1" thickBot="1">
      <c r="A523" s="72" t="s">
        <v>65</v>
      </c>
      <c r="B523" s="104"/>
      <c r="C523" s="150"/>
      <c r="D523" s="111"/>
      <c r="E523" s="111"/>
      <c r="F523" s="3"/>
      <c r="G523" s="3"/>
      <c r="H523" s="3"/>
      <c r="I523" s="3"/>
      <c r="J523" s="3"/>
      <c r="K523" s="3"/>
      <c r="L523" s="3"/>
      <c r="M523" s="87" t="s">
        <v>710</v>
      </c>
      <c r="N523" s="3">
        <f t="shared" si="127"/>
        <v>4095</v>
      </c>
      <c r="O523" s="3">
        <f t="shared" si="120"/>
        <v>4095</v>
      </c>
      <c r="P523" s="3"/>
      <c r="Q523" s="3"/>
      <c r="R523" s="3">
        <v>4095</v>
      </c>
      <c r="S523" s="3">
        <v>4095</v>
      </c>
      <c r="T523" s="3"/>
      <c r="U523" s="3"/>
      <c r="V523" s="3"/>
      <c r="W523" s="3"/>
      <c r="X523" s="3">
        <f t="shared" si="128"/>
        <v>0</v>
      </c>
      <c r="Y523" s="3"/>
      <c r="Z523" s="3"/>
      <c r="AA523" s="3"/>
      <c r="AB523" s="3"/>
      <c r="AC523" s="3">
        <f t="shared" si="129"/>
        <v>0</v>
      </c>
      <c r="AD523" s="3"/>
      <c r="AE523" s="3"/>
      <c r="AF523" s="3"/>
      <c r="AG523" s="3"/>
      <c r="AH523" s="3"/>
      <c r="AI523" s="3"/>
      <c r="AJ523" s="3"/>
      <c r="AK523" s="3"/>
      <c r="AL523" s="3"/>
      <c r="AM523" s="3"/>
      <c r="AN523" s="3"/>
      <c r="AO523" s="3"/>
      <c r="AP523" s="3"/>
      <c r="AQ523" s="3"/>
    </row>
    <row r="524" spans="1:43" ht="35.450000000000003" customHeight="1" thickBot="1">
      <c r="A524" s="72" t="s">
        <v>65</v>
      </c>
      <c r="B524" s="104"/>
      <c r="C524" s="150"/>
      <c r="D524" s="111"/>
      <c r="E524" s="111"/>
      <c r="F524" s="131" t="s">
        <v>1311</v>
      </c>
      <c r="G524" s="131" t="s">
        <v>153</v>
      </c>
      <c r="H524" s="131" t="s">
        <v>1309</v>
      </c>
      <c r="I524" s="131" t="s">
        <v>1312</v>
      </c>
      <c r="J524" s="131" t="s">
        <v>153</v>
      </c>
      <c r="K524" s="131" t="s">
        <v>1313</v>
      </c>
      <c r="L524" s="3"/>
      <c r="M524" s="87" t="s">
        <v>711</v>
      </c>
      <c r="N524" s="3">
        <f t="shared" si="127"/>
        <v>41.4</v>
      </c>
      <c r="O524" s="3">
        <f t="shared" si="120"/>
        <v>41.4</v>
      </c>
      <c r="P524" s="3"/>
      <c r="Q524" s="3"/>
      <c r="R524" s="3"/>
      <c r="S524" s="3"/>
      <c r="T524" s="3"/>
      <c r="U524" s="3"/>
      <c r="V524" s="3">
        <v>41.4</v>
      </c>
      <c r="W524" s="3">
        <v>41.4</v>
      </c>
      <c r="X524" s="3">
        <f t="shared" si="128"/>
        <v>58484.800000000003</v>
      </c>
      <c r="Y524" s="3"/>
      <c r="Z524" s="3">
        <v>57900</v>
      </c>
      <c r="AA524" s="3"/>
      <c r="AB524" s="3">
        <v>584.79999999999995</v>
      </c>
      <c r="AC524" s="3">
        <f t="shared" si="129"/>
        <v>0</v>
      </c>
      <c r="AD524" s="3"/>
      <c r="AE524" s="3"/>
      <c r="AF524" s="3"/>
      <c r="AG524" s="3"/>
      <c r="AH524" s="3"/>
      <c r="AI524" s="3"/>
      <c r="AJ524" s="3"/>
      <c r="AK524" s="3"/>
      <c r="AL524" s="3"/>
      <c r="AM524" s="3"/>
      <c r="AN524" s="3"/>
      <c r="AO524" s="3"/>
      <c r="AP524" s="3"/>
      <c r="AQ524" s="3"/>
    </row>
    <row r="525" spans="1:43" ht="35.450000000000003" customHeight="1" thickBot="1">
      <c r="A525" s="72" t="s">
        <v>65</v>
      </c>
      <c r="B525" s="104"/>
      <c r="C525" s="150"/>
      <c r="D525" s="111"/>
      <c r="E525" s="111"/>
      <c r="F525" s="3"/>
      <c r="G525" s="3"/>
      <c r="H525" s="3"/>
      <c r="I525" s="3"/>
      <c r="J525" s="3"/>
      <c r="K525" s="3"/>
      <c r="L525" s="3"/>
      <c r="M525" s="87" t="s">
        <v>712</v>
      </c>
      <c r="N525" s="3">
        <f t="shared" si="127"/>
        <v>0</v>
      </c>
      <c r="O525" s="3">
        <f t="shared" si="120"/>
        <v>0</v>
      </c>
      <c r="P525" s="3"/>
      <c r="Q525" s="3"/>
      <c r="R525" s="3"/>
      <c r="S525" s="3"/>
      <c r="T525" s="3"/>
      <c r="U525" s="3"/>
      <c r="V525" s="3"/>
      <c r="W525" s="3"/>
      <c r="X525" s="3">
        <f t="shared" si="128"/>
        <v>0</v>
      </c>
      <c r="Y525" s="3"/>
      <c r="Z525" s="3"/>
      <c r="AA525" s="3"/>
      <c r="AB525" s="3"/>
      <c r="AC525" s="3">
        <f t="shared" si="129"/>
        <v>0</v>
      </c>
      <c r="AD525" s="3"/>
      <c r="AE525" s="3"/>
      <c r="AF525" s="3"/>
      <c r="AG525" s="3"/>
      <c r="AH525" s="3">
        <f t="shared" si="118"/>
        <v>0</v>
      </c>
      <c r="AI525" s="3"/>
      <c r="AJ525" s="3"/>
      <c r="AK525" s="3"/>
      <c r="AL525" s="3"/>
      <c r="AM525" s="3">
        <f t="shared" si="119"/>
        <v>0</v>
      </c>
      <c r="AN525" s="3"/>
      <c r="AO525" s="3"/>
      <c r="AP525" s="3"/>
      <c r="AQ525" s="3"/>
    </row>
    <row r="526" spans="1:43" ht="35.450000000000003" customHeight="1" thickBot="1">
      <c r="A526" s="72" t="s">
        <v>65</v>
      </c>
      <c r="B526" s="104"/>
      <c r="C526" s="150"/>
      <c r="D526" s="111"/>
      <c r="E526" s="111"/>
      <c r="F526" s="3"/>
      <c r="G526" s="3"/>
      <c r="H526" s="3"/>
      <c r="I526" s="3"/>
      <c r="J526" s="3"/>
      <c r="K526" s="3"/>
      <c r="L526" s="3"/>
      <c r="M526" s="87" t="s">
        <v>713</v>
      </c>
      <c r="N526" s="3">
        <f t="shared" si="127"/>
        <v>0</v>
      </c>
      <c r="O526" s="3">
        <f t="shared" si="120"/>
        <v>0</v>
      </c>
      <c r="P526" s="3"/>
      <c r="Q526" s="3"/>
      <c r="R526" s="3">
        <v>0</v>
      </c>
      <c r="S526" s="3"/>
      <c r="T526" s="3"/>
      <c r="U526" s="3"/>
      <c r="V526" s="3"/>
      <c r="W526" s="3"/>
      <c r="X526" s="3">
        <f t="shared" si="128"/>
        <v>0</v>
      </c>
      <c r="Y526" s="3"/>
      <c r="Z526" s="3">
        <v>0</v>
      </c>
      <c r="AA526" s="3"/>
      <c r="AB526" s="3"/>
      <c r="AC526" s="3">
        <f t="shared" si="129"/>
        <v>0</v>
      </c>
      <c r="AD526" s="3"/>
      <c r="AE526" s="3">
        <v>0</v>
      </c>
      <c r="AF526" s="3"/>
      <c r="AG526" s="3"/>
      <c r="AH526" s="3">
        <f t="shared" si="118"/>
        <v>0</v>
      </c>
      <c r="AI526" s="3"/>
      <c r="AJ526" s="3">
        <v>0</v>
      </c>
      <c r="AK526" s="3"/>
      <c r="AL526" s="3"/>
      <c r="AM526" s="3">
        <f t="shared" si="119"/>
        <v>0</v>
      </c>
      <c r="AN526" s="3"/>
      <c r="AO526" s="3">
        <v>0</v>
      </c>
      <c r="AP526" s="3"/>
      <c r="AQ526" s="3"/>
    </row>
    <row r="527" spans="1:43" ht="35.450000000000003" customHeight="1" thickBot="1">
      <c r="A527" s="72" t="s">
        <v>65</v>
      </c>
      <c r="B527" s="104"/>
      <c r="C527" s="150"/>
      <c r="D527" s="111"/>
      <c r="E527" s="111"/>
      <c r="F527" s="3"/>
      <c r="G527" s="3"/>
      <c r="H527" s="3"/>
      <c r="I527" s="3"/>
      <c r="J527" s="3"/>
      <c r="K527" s="3"/>
      <c r="L527" s="3"/>
      <c r="M527" s="87" t="s">
        <v>714</v>
      </c>
      <c r="N527" s="3">
        <f t="shared" si="127"/>
        <v>0</v>
      </c>
      <c r="O527" s="3">
        <f t="shared" si="120"/>
        <v>0</v>
      </c>
      <c r="P527" s="3"/>
      <c r="Q527" s="3"/>
      <c r="R527" s="3"/>
      <c r="S527" s="3"/>
      <c r="T527" s="3"/>
      <c r="U527" s="3"/>
      <c r="V527" s="3"/>
      <c r="W527" s="3"/>
      <c r="X527" s="3">
        <f t="shared" si="128"/>
        <v>0</v>
      </c>
      <c r="Y527" s="3"/>
      <c r="Z527" s="3"/>
      <c r="AA527" s="3"/>
      <c r="AB527" s="3"/>
      <c r="AC527" s="3"/>
      <c r="AD527" s="3"/>
      <c r="AE527" s="3"/>
      <c r="AF527" s="3"/>
      <c r="AG527" s="3"/>
      <c r="AH527" s="3"/>
      <c r="AI527" s="3"/>
      <c r="AJ527" s="3"/>
      <c r="AK527" s="3"/>
      <c r="AL527" s="3"/>
      <c r="AM527" s="3"/>
      <c r="AN527" s="3"/>
      <c r="AO527" s="3"/>
      <c r="AP527" s="3"/>
      <c r="AQ527" s="3"/>
    </row>
    <row r="528" spans="1:43" ht="35.450000000000003" customHeight="1" thickBot="1">
      <c r="A528" s="72" t="s">
        <v>65</v>
      </c>
      <c r="B528" s="104"/>
      <c r="C528" s="150"/>
      <c r="D528" s="111"/>
      <c r="E528" s="111"/>
      <c r="F528" s="3"/>
      <c r="G528" s="3"/>
      <c r="H528" s="3"/>
      <c r="I528" s="3"/>
      <c r="J528" s="3"/>
      <c r="K528" s="3"/>
      <c r="L528" s="3"/>
      <c r="M528" s="87" t="s">
        <v>715</v>
      </c>
      <c r="N528" s="3">
        <f t="shared" si="127"/>
        <v>0</v>
      </c>
      <c r="O528" s="3">
        <f t="shared" si="120"/>
        <v>0</v>
      </c>
      <c r="P528" s="3"/>
      <c r="Q528" s="3"/>
      <c r="R528" s="3"/>
      <c r="S528" s="3"/>
      <c r="T528" s="3"/>
      <c r="U528" s="3"/>
      <c r="V528" s="3"/>
      <c r="W528" s="3"/>
      <c r="X528" s="3">
        <f t="shared" si="128"/>
        <v>0</v>
      </c>
      <c r="Y528" s="3"/>
      <c r="Z528" s="3"/>
      <c r="AA528" s="3"/>
      <c r="AB528" s="3"/>
      <c r="AC528" s="3"/>
      <c r="AD528" s="3"/>
      <c r="AE528" s="3"/>
      <c r="AF528" s="3"/>
      <c r="AG528" s="3"/>
      <c r="AH528" s="3"/>
      <c r="AI528" s="3"/>
      <c r="AJ528" s="3"/>
      <c r="AK528" s="3"/>
      <c r="AL528" s="3"/>
      <c r="AM528" s="3"/>
      <c r="AN528" s="3"/>
      <c r="AO528" s="3"/>
      <c r="AP528" s="3"/>
      <c r="AQ528" s="3"/>
    </row>
    <row r="529" spans="1:43" ht="35.450000000000003" customHeight="1" thickBot="1">
      <c r="A529" s="72" t="s">
        <v>65</v>
      </c>
      <c r="B529" s="104"/>
      <c r="C529" s="150"/>
      <c r="D529" s="111"/>
      <c r="E529" s="111"/>
      <c r="F529" s="3"/>
      <c r="G529" s="3"/>
      <c r="H529" s="3"/>
      <c r="I529" s="3"/>
      <c r="J529" s="3"/>
      <c r="K529" s="3"/>
      <c r="L529" s="3"/>
      <c r="M529" s="87" t="s">
        <v>716</v>
      </c>
      <c r="N529" s="3">
        <f t="shared" si="127"/>
        <v>24600.400000000001</v>
      </c>
      <c r="O529" s="3">
        <f t="shared" si="120"/>
        <v>15948.7</v>
      </c>
      <c r="P529" s="3"/>
      <c r="Q529" s="3"/>
      <c r="R529" s="3">
        <v>24600.400000000001</v>
      </c>
      <c r="S529" s="3">
        <v>15948.7</v>
      </c>
      <c r="T529" s="3"/>
      <c r="U529" s="3"/>
      <c r="V529" s="3">
        <f>24600.4-24600.4</f>
        <v>0</v>
      </c>
      <c r="W529" s="3">
        <f>15948.7-15948.7</f>
        <v>0</v>
      </c>
      <c r="X529" s="3">
        <f t="shared" si="128"/>
        <v>6001.4000000000005</v>
      </c>
      <c r="Y529" s="3"/>
      <c r="Z529" s="3"/>
      <c r="AA529" s="3"/>
      <c r="AB529" s="3">
        <f>6187.3-185.9</f>
        <v>6001.4000000000005</v>
      </c>
      <c r="AC529" s="3"/>
      <c r="AD529" s="3"/>
      <c r="AE529" s="3"/>
      <c r="AF529" s="3"/>
      <c r="AG529" s="3"/>
      <c r="AH529" s="3"/>
      <c r="AI529" s="3"/>
      <c r="AJ529" s="3"/>
      <c r="AK529" s="3"/>
      <c r="AL529" s="3"/>
      <c r="AM529" s="3"/>
      <c r="AN529" s="3"/>
      <c r="AO529" s="3"/>
      <c r="AP529" s="3"/>
      <c r="AQ529" s="3"/>
    </row>
    <row r="530" spans="1:43" ht="35.450000000000003" customHeight="1" thickBot="1">
      <c r="A530" s="72" t="s">
        <v>65</v>
      </c>
      <c r="B530" s="104"/>
      <c r="C530" s="150"/>
      <c r="D530" s="111"/>
      <c r="E530" s="111"/>
      <c r="F530" s="3"/>
      <c r="G530" s="3"/>
      <c r="H530" s="3"/>
      <c r="I530" s="3"/>
      <c r="J530" s="3"/>
      <c r="K530" s="3"/>
      <c r="L530" s="3"/>
      <c r="M530" s="87" t="s">
        <v>717</v>
      </c>
      <c r="N530" s="3">
        <f t="shared" si="127"/>
        <v>600</v>
      </c>
      <c r="O530" s="3">
        <f t="shared" si="120"/>
        <v>599</v>
      </c>
      <c r="P530" s="3"/>
      <c r="Q530" s="3"/>
      <c r="R530" s="3"/>
      <c r="S530" s="3"/>
      <c r="T530" s="3"/>
      <c r="U530" s="3"/>
      <c r="V530" s="3">
        <v>600</v>
      </c>
      <c r="W530" s="3">
        <v>599</v>
      </c>
      <c r="X530" s="3"/>
      <c r="Y530" s="3"/>
      <c r="Z530" s="3"/>
      <c r="AA530" s="3"/>
      <c r="AB530" s="3"/>
      <c r="AC530" s="3"/>
      <c r="AD530" s="3"/>
      <c r="AE530" s="3"/>
      <c r="AF530" s="3"/>
      <c r="AG530" s="3"/>
      <c r="AH530" s="3"/>
      <c r="AI530" s="3"/>
      <c r="AJ530" s="3"/>
      <c r="AK530" s="3"/>
      <c r="AL530" s="3"/>
      <c r="AM530" s="3"/>
      <c r="AN530" s="3"/>
      <c r="AO530" s="3"/>
      <c r="AP530" s="3"/>
      <c r="AQ530" s="3"/>
    </row>
    <row r="531" spans="1:43" ht="35.450000000000003" customHeight="1" thickBot="1">
      <c r="A531" s="72" t="s">
        <v>65</v>
      </c>
      <c r="B531" s="104"/>
      <c r="C531" s="150"/>
      <c r="D531" s="111"/>
      <c r="E531" s="111"/>
      <c r="F531" s="3"/>
      <c r="G531" s="3"/>
      <c r="H531" s="3"/>
      <c r="I531" s="3"/>
      <c r="J531" s="3"/>
      <c r="K531" s="3"/>
      <c r="L531" s="3"/>
      <c r="M531" s="87" t="s">
        <v>718</v>
      </c>
      <c r="N531" s="3">
        <f t="shared" si="127"/>
        <v>0</v>
      </c>
      <c r="O531" s="3">
        <f t="shared" si="120"/>
        <v>0</v>
      </c>
      <c r="P531" s="3"/>
      <c r="Q531" s="3"/>
      <c r="R531" s="3"/>
      <c r="S531" s="3"/>
      <c r="T531" s="3"/>
      <c r="U531" s="3"/>
      <c r="V531" s="3"/>
      <c r="W531" s="3"/>
      <c r="X531" s="3">
        <f t="shared" ref="X531:X538" si="130">Y531+Z531+AA531+AB531</f>
        <v>0</v>
      </c>
      <c r="Y531" s="3"/>
      <c r="Z531" s="3"/>
      <c r="AA531" s="3"/>
      <c r="AB531" s="3"/>
      <c r="AC531" s="3">
        <f t="shared" ref="AC531:AC538" si="131">AD531+AE531+AF531+AG531</f>
        <v>0</v>
      </c>
      <c r="AD531" s="3"/>
      <c r="AE531" s="3"/>
      <c r="AF531" s="3"/>
      <c r="AG531" s="3"/>
      <c r="AH531" s="3">
        <f t="shared" si="118"/>
        <v>0</v>
      </c>
      <c r="AI531" s="3"/>
      <c r="AJ531" s="3"/>
      <c r="AK531" s="3"/>
      <c r="AL531" s="3"/>
      <c r="AM531" s="3">
        <f t="shared" si="119"/>
        <v>0</v>
      </c>
      <c r="AN531" s="3"/>
      <c r="AO531" s="3"/>
      <c r="AP531" s="3"/>
      <c r="AQ531" s="3"/>
    </row>
    <row r="532" spans="1:43" ht="35.450000000000003" customHeight="1" thickBot="1">
      <c r="A532" s="72" t="s">
        <v>65</v>
      </c>
      <c r="B532" s="104"/>
      <c r="C532" s="150"/>
      <c r="D532" s="111"/>
      <c r="E532" s="111"/>
      <c r="F532" s="3"/>
      <c r="G532" s="3"/>
      <c r="H532" s="3"/>
      <c r="I532" s="4"/>
      <c r="J532" s="3"/>
      <c r="K532" s="3"/>
      <c r="L532" s="3"/>
      <c r="M532" s="87" t="s">
        <v>719</v>
      </c>
      <c r="N532" s="3">
        <f t="shared" si="127"/>
        <v>413.2</v>
      </c>
      <c r="O532" s="3">
        <f t="shared" si="120"/>
        <v>413.2</v>
      </c>
      <c r="P532" s="3"/>
      <c r="Q532" s="3"/>
      <c r="R532" s="3"/>
      <c r="S532" s="3"/>
      <c r="T532" s="3"/>
      <c r="U532" s="3"/>
      <c r="V532" s="3">
        <f>800-386.8</f>
        <v>413.2</v>
      </c>
      <c r="W532" s="3">
        <v>413.2</v>
      </c>
      <c r="X532" s="3">
        <f t="shared" si="130"/>
        <v>148.79999999999995</v>
      </c>
      <c r="Y532" s="3"/>
      <c r="Z532" s="3"/>
      <c r="AA532" s="3"/>
      <c r="AB532" s="3">
        <f>1300-1151.2</f>
        <v>148.79999999999995</v>
      </c>
      <c r="AC532" s="3">
        <f t="shared" si="131"/>
        <v>1300</v>
      </c>
      <c r="AD532" s="3"/>
      <c r="AE532" s="3"/>
      <c r="AF532" s="3"/>
      <c r="AG532" s="3">
        <v>1300</v>
      </c>
      <c r="AH532" s="3">
        <f t="shared" si="118"/>
        <v>1300</v>
      </c>
      <c r="AI532" s="3"/>
      <c r="AJ532" s="3"/>
      <c r="AK532" s="3"/>
      <c r="AL532" s="3">
        <v>1300</v>
      </c>
      <c r="AM532" s="3">
        <f t="shared" si="119"/>
        <v>1300</v>
      </c>
      <c r="AN532" s="3"/>
      <c r="AO532" s="3"/>
      <c r="AP532" s="3"/>
      <c r="AQ532" s="3">
        <v>1300</v>
      </c>
    </row>
    <row r="533" spans="1:43" ht="35.450000000000003" customHeight="1" thickBot="1">
      <c r="A533" s="193" t="s">
        <v>483</v>
      </c>
      <c r="B533" s="194"/>
      <c r="C533" s="150"/>
      <c r="D533" s="111"/>
      <c r="E533" s="111"/>
      <c r="F533" s="4"/>
      <c r="G533" s="4"/>
      <c r="H533" s="4"/>
      <c r="I533" s="4"/>
      <c r="J533" s="4"/>
      <c r="K533" s="4"/>
      <c r="L533" s="3"/>
      <c r="M533" s="87" t="s">
        <v>720</v>
      </c>
      <c r="N533" s="3">
        <f>P533+R533+T533+V533</f>
        <v>117.7</v>
      </c>
      <c r="O533" s="3">
        <f>Q533+S533+U533+W533</f>
        <v>117.6</v>
      </c>
      <c r="P533" s="3"/>
      <c r="Q533" s="3"/>
      <c r="R533" s="3"/>
      <c r="S533" s="3"/>
      <c r="T533" s="3"/>
      <c r="U533" s="3"/>
      <c r="V533" s="3">
        <v>117.7</v>
      </c>
      <c r="W533" s="3">
        <v>117.6</v>
      </c>
      <c r="X533" s="3"/>
      <c r="Y533" s="3"/>
      <c r="Z533" s="3"/>
      <c r="AA533" s="3"/>
      <c r="AB533" s="3"/>
      <c r="AC533" s="3"/>
      <c r="AD533" s="3"/>
      <c r="AE533" s="3"/>
      <c r="AF533" s="3"/>
      <c r="AG533" s="3"/>
      <c r="AH533" s="3"/>
      <c r="AI533" s="3"/>
      <c r="AJ533" s="3"/>
      <c r="AK533" s="3"/>
      <c r="AL533" s="3"/>
      <c r="AM533" s="3"/>
      <c r="AN533" s="3"/>
      <c r="AO533" s="3"/>
      <c r="AP533" s="3"/>
      <c r="AQ533" s="3"/>
    </row>
    <row r="534" spans="1:43" ht="35.450000000000003" customHeight="1" thickBot="1">
      <c r="A534" s="72" t="s">
        <v>65</v>
      </c>
      <c r="B534" s="104"/>
      <c r="C534" s="150"/>
      <c r="D534" s="111"/>
      <c r="E534" s="111"/>
      <c r="F534" s="3"/>
      <c r="G534" s="3"/>
      <c r="H534" s="3"/>
      <c r="I534" s="4"/>
      <c r="J534" s="3"/>
      <c r="K534" s="3"/>
      <c r="L534" s="3"/>
      <c r="M534" s="87" t="s">
        <v>721</v>
      </c>
      <c r="N534" s="3">
        <f t="shared" si="127"/>
        <v>0</v>
      </c>
      <c r="O534" s="3">
        <f t="shared" si="120"/>
        <v>0</v>
      </c>
      <c r="P534" s="3"/>
      <c r="Q534" s="3"/>
      <c r="R534" s="3"/>
      <c r="S534" s="3"/>
      <c r="T534" s="3"/>
      <c r="U534" s="3"/>
      <c r="V534" s="3"/>
      <c r="W534" s="3"/>
      <c r="X534" s="3">
        <f t="shared" si="130"/>
        <v>0</v>
      </c>
      <c r="Y534" s="3"/>
      <c r="Z534" s="3"/>
      <c r="AA534" s="3"/>
      <c r="AB534" s="3"/>
      <c r="AC534" s="3">
        <f t="shared" si="131"/>
        <v>0</v>
      </c>
      <c r="AD534" s="3"/>
      <c r="AE534" s="3"/>
      <c r="AF534" s="3"/>
      <c r="AG534" s="3"/>
      <c r="AH534" s="3">
        <f t="shared" si="118"/>
        <v>0</v>
      </c>
      <c r="AI534" s="3"/>
      <c r="AJ534" s="3"/>
      <c r="AK534" s="3"/>
      <c r="AL534" s="3"/>
      <c r="AM534" s="3">
        <f t="shared" si="119"/>
        <v>0</v>
      </c>
      <c r="AN534" s="3"/>
      <c r="AO534" s="3"/>
      <c r="AP534" s="3"/>
      <c r="AQ534" s="3"/>
    </row>
    <row r="535" spans="1:43" ht="35.450000000000003" customHeight="1" thickBot="1">
      <c r="A535" s="72" t="s">
        <v>65</v>
      </c>
      <c r="B535" s="104"/>
      <c r="C535" s="150"/>
      <c r="D535" s="111"/>
      <c r="E535" s="111"/>
      <c r="F535" s="3"/>
      <c r="G535" s="3"/>
      <c r="H535" s="3"/>
      <c r="I535" s="4"/>
      <c r="J535" s="3"/>
      <c r="K535" s="3"/>
      <c r="L535" s="3"/>
      <c r="M535" s="87" t="s">
        <v>722</v>
      </c>
      <c r="N535" s="3">
        <f t="shared" si="127"/>
        <v>0</v>
      </c>
      <c r="O535" s="3">
        <f t="shared" si="120"/>
        <v>0</v>
      </c>
      <c r="P535" s="3"/>
      <c r="Q535" s="3"/>
      <c r="R535" s="3"/>
      <c r="S535" s="3"/>
      <c r="T535" s="3"/>
      <c r="U535" s="3"/>
      <c r="V535" s="3"/>
      <c r="W535" s="3"/>
      <c r="X535" s="3">
        <f t="shared" si="130"/>
        <v>0</v>
      </c>
      <c r="Y535" s="3"/>
      <c r="Z535" s="3"/>
      <c r="AA535" s="3"/>
      <c r="AB535" s="3"/>
      <c r="AC535" s="3">
        <f t="shared" si="131"/>
        <v>0</v>
      </c>
      <c r="AD535" s="3"/>
      <c r="AE535" s="3"/>
      <c r="AF535" s="3"/>
      <c r="AG535" s="3"/>
      <c r="AH535" s="3">
        <f t="shared" si="118"/>
        <v>0</v>
      </c>
      <c r="AI535" s="3"/>
      <c r="AJ535" s="3"/>
      <c r="AK535" s="3"/>
      <c r="AL535" s="3"/>
      <c r="AM535" s="3">
        <f t="shared" si="119"/>
        <v>0</v>
      </c>
      <c r="AN535" s="3"/>
      <c r="AO535" s="3"/>
      <c r="AP535" s="3"/>
      <c r="AQ535" s="3"/>
    </row>
    <row r="536" spans="1:43" ht="35.450000000000003" customHeight="1" thickBot="1">
      <c r="A536" s="72" t="s">
        <v>65</v>
      </c>
      <c r="B536" s="104"/>
      <c r="C536" s="150"/>
      <c r="D536" s="111"/>
      <c r="E536" s="111"/>
      <c r="F536" s="3"/>
      <c r="G536" s="3"/>
      <c r="H536" s="3"/>
      <c r="I536" s="4"/>
      <c r="J536" s="3"/>
      <c r="K536" s="3"/>
      <c r="L536" s="3"/>
      <c r="M536" s="87" t="s">
        <v>723</v>
      </c>
      <c r="N536" s="3">
        <f t="shared" si="127"/>
        <v>0</v>
      </c>
      <c r="O536" s="3">
        <f t="shared" si="120"/>
        <v>0</v>
      </c>
      <c r="P536" s="3"/>
      <c r="Q536" s="3"/>
      <c r="R536" s="3"/>
      <c r="S536" s="3"/>
      <c r="T536" s="3"/>
      <c r="U536" s="3"/>
      <c r="V536" s="3"/>
      <c r="W536" s="3"/>
      <c r="X536" s="3">
        <f t="shared" si="130"/>
        <v>0</v>
      </c>
      <c r="Y536" s="3"/>
      <c r="Z536" s="3"/>
      <c r="AA536" s="3"/>
      <c r="AB536" s="3"/>
      <c r="AC536" s="3">
        <f t="shared" si="131"/>
        <v>0</v>
      </c>
      <c r="AD536" s="3"/>
      <c r="AE536" s="3"/>
      <c r="AF536" s="3"/>
      <c r="AG536" s="3"/>
      <c r="AH536" s="3">
        <f t="shared" si="118"/>
        <v>0</v>
      </c>
      <c r="AI536" s="3"/>
      <c r="AJ536" s="3"/>
      <c r="AK536" s="3"/>
      <c r="AL536" s="3"/>
      <c r="AM536" s="3">
        <f t="shared" si="119"/>
        <v>0</v>
      </c>
      <c r="AN536" s="3"/>
      <c r="AO536" s="3"/>
      <c r="AP536" s="3"/>
      <c r="AQ536" s="3"/>
    </row>
    <row r="537" spans="1:43" ht="35.450000000000003" customHeight="1" thickBot="1">
      <c r="A537" s="72" t="s">
        <v>65</v>
      </c>
      <c r="B537" s="104"/>
      <c r="C537" s="150"/>
      <c r="D537" s="111"/>
      <c r="E537" s="111"/>
      <c r="F537" s="3"/>
      <c r="G537" s="3"/>
      <c r="H537" s="3"/>
      <c r="I537" s="4"/>
      <c r="J537" s="3"/>
      <c r="K537" s="3"/>
      <c r="L537" s="4"/>
      <c r="M537" s="87" t="s">
        <v>724</v>
      </c>
      <c r="N537" s="3">
        <f t="shared" si="127"/>
        <v>0</v>
      </c>
      <c r="O537" s="3">
        <f t="shared" si="120"/>
        <v>0</v>
      </c>
      <c r="P537" s="3"/>
      <c r="Q537" s="3"/>
      <c r="R537" s="3"/>
      <c r="S537" s="3"/>
      <c r="T537" s="3"/>
      <c r="U537" s="3"/>
      <c r="V537" s="3"/>
      <c r="W537" s="3"/>
      <c r="X537" s="3">
        <f t="shared" si="130"/>
        <v>0</v>
      </c>
      <c r="Y537" s="3"/>
      <c r="Z537" s="3"/>
      <c r="AA537" s="3"/>
      <c r="AB537" s="3"/>
      <c r="AC537" s="3">
        <f t="shared" si="131"/>
        <v>0</v>
      </c>
      <c r="AD537" s="3"/>
      <c r="AE537" s="3"/>
      <c r="AF537" s="3"/>
      <c r="AG537" s="3"/>
      <c r="AH537" s="3">
        <f t="shared" si="118"/>
        <v>0</v>
      </c>
      <c r="AI537" s="3"/>
      <c r="AJ537" s="3"/>
      <c r="AK537" s="3"/>
      <c r="AL537" s="3"/>
      <c r="AM537" s="3">
        <f t="shared" si="119"/>
        <v>0</v>
      </c>
      <c r="AN537" s="3"/>
      <c r="AO537" s="3"/>
      <c r="AP537" s="3"/>
      <c r="AQ537" s="3"/>
    </row>
    <row r="538" spans="1:43" ht="35.450000000000003" customHeight="1" thickBot="1">
      <c r="A538" s="72" t="s">
        <v>65</v>
      </c>
      <c r="B538" s="104"/>
      <c r="C538" s="150"/>
      <c r="D538" s="111"/>
      <c r="E538" s="111"/>
      <c r="F538" s="3"/>
      <c r="G538" s="3"/>
      <c r="H538" s="3"/>
      <c r="I538" s="4" t="s">
        <v>725</v>
      </c>
      <c r="J538" s="4" t="s">
        <v>153</v>
      </c>
      <c r="K538" s="3"/>
      <c r="L538" s="3"/>
      <c r="M538" s="87" t="s">
        <v>726</v>
      </c>
      <c r="N538" s="3">
        <f t="shared" si="127"/>
        <v>0</v>
      </c>
      <c r="O538" s="3">
        <f t="shared" si="120"/>
        <v>0</v>
      </c>
      <c r="P538" s="3"/>
      <c r="Q538" s="3"/>
      <c r="R538" s="3"/>
      <c r="S538" s="3"/>
      <c r="T538" s="3"/>
      <c r="U538" s="3"/>
      <c r="V538" s="3"/>
      <c r="W538" s="3"/>
      <c r="X538" s="3">
        <f t="shared" si="130"/>
        <v>0</v>
      </c>
      <c r="Y538" s="3"/>
      <c r="Z538" s="3"/>
      <c r="AA538" s="3"/>
      <c r="AB538" s="3"/>
      <c r="AC538" s="3">
        <f t="shared" si="131"/>
        <v>0</v>
      </c>
      <c r="AD538" s="3"/>
      <c r="AE538" s="3"/>
      <c r="AF538" s="3"/>
      <c r="AG538" s="3"/>
      <c r="AH538" s="3">
        <f t="shared" si="118"/>
        <v>0</v>
      </c>
      <c r="AI538" s="3"/>
      <c r="AJ538" s="3"/>
      <c r="AK538" s="3"/>
      <c r="AL538" s="3"/>
      <c r="AM538" s="3">
        <f t="shared" si="119"/>
        <v>0</v>
      </c>
      <c r="AN538" s="3"/>
      <c r="AO538" s="3"/>
      <c r="AP538" s="3"/>
      <c r="AQ538" s="3"/>
    </row>
    <row r="539" spans="1:43" ht="35.450000000000003" customHeight="1" thickBot="1">
      <c r="A539" s="72" t="s">
        <v>65</v>
      </c>
      <c r="B539" s="104"/>
      <c r="C539" s="150"/>
      <c r="D539" s="111"/>
      <c r="E539" s="111"/>
      <c r="F539" s="3"/>
      <c r="G539" s="3"/>
      <c r="H539" s="3"/>
      <c r="I539" s="4"/>
      <c r="J539" s="3"/>
      <c r="K539" s="3"/>
      <c r="L539" s="3"/>
      <c r="M539" s="87" t="s">
        <v>727</v>
      </c>
      <c r="N539" s="3"/>
      <c r="O539" s="3">
        <f t="shared" si="120"/>
        <v>0</v>
      </c>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row>
    <row r="540" spans="1:43" ht="35.450000000000003" customHeight="1" thickBot="1">
      <c r="A540" s="72" t="s">
        <v>65</v>
      </c>
      <c r="B540" s="104"/>
      <c r="C540" s="150"/>
      <c r="D540" s="111"/>
      <c r="E540" s="111"/>
      <c r="F540" s="3"/>
      <c r="G540" s="3"/>
      <c r="H540" s="3"/>
      <c r="I540" s="3"/>
      <c r="J540" s="3"/>
      <c r="K540" s="3"/>
      <c r="L540" s="3"/>
      <c r="M540" s="87" t="s">
        <v>667</v>
      </c>
      <c r="N540" s="3">
        <f t="shared" ref="N540:O555" si="132">P540+R540+T540+V540</f>
        <v>0</v>
      </c>
      <c r="O540" s="3">
        <f t="shared" si="120"/>
        <v>0</v>
      </c>
      <c r="P540" s="3"/>
      <c r="Q540" s="3"/>
      <c r="R540" s="3"/>
      <c r="S540" s="3"/>
      <c r="T540" s="3"/>
      <c r="U540" s="3"/>
      <c r="V540" s="3"/>
      <c r="W540" s="3"/>
      <c r="X540" s="3">
        <f t="shared" ref="X540:X549" si="133">Y540+Z540+AA540+AB540</f>
        <v>0</v>
      </c>
      <c r="Y540" s="3"/>
      <c r="Z540" s="3"/>
      <c r="AA540" s="3"/>
      <c r="AB540" s="3"/>
      <c r="AC540" s="3">
        <f t="shared" ref="AC540:AC549" si="134">AD540+AE540+AF540+AG540</f>
        <v>0</v>
      </c>
      <c r="AD540" s="3"/>
      <c r="AE540" s="3"/>
      <c r="AF540" s="3"/>
      <c r="AG540" s="3"/>
      <c r="AH540" s="3">
        <f t="shared" si="118"/>
        <v>0</v>
      </c>
      <c r="AI540" s="3"/>
      <c r="AJ540" s="3"/>
      <c r="AK540" s="3"/>
      <c r="AL540" s="3"/>
      <c r="AM540" s="3">
        <f t="shared" si="119"/>
        <v>0</v>
      </c>
      <c r="AN540" s="3"/>
      <c r="AO540" s="3"/>
      <c r="AP540" s="3"/>
      <c r="AQ540" s="3"/>
    </row>
    <row r="541" spans="1:43" ht="35.450000000000003" customHeight="1" thickBot="1">
      <c r="A541" s="72" t="s">
        <v>65</v>
      </c>
      <c r="B541" s="104"/>
      <c r="C541" s="150"/>
      <c r="D541" s="111"/>
      <c r="E541" s="111"/>
      <c r="F541" s="3"/>
      <c r="G541" s="3"/>
      <c r="H541" s="3"/>
      <c r="I541" s="3"/>
      <c r="J541" s="3"/>
      <c r="K541" s="3"/>
      <c r="L541" s="3"/>
      <c r="M541" s="87" t="s">
        <v>728</v>
      </c>
      <c r="N541" s="3">
        <f t="shared" si="132"/>
        <v>0</v>
      </c>
      <c r="O541" s="3">
        <f t="shared" si="120"/>
        <v>0</v>
      </c>
      <c r="P541" s="3"/>
      <c r="Q541" s="3"/>
      <c r="R541" s="3"/>
      <c r="S541" s="3"/>
      <c r="T541" s="3"/>
      <c r="U541" s="3"/>
      <c r="V541" s="3"/>
      <c r="W541" s="3"/>
      <c r="X541" s="3">
        <f t="shared" si="133"/>
        <v>0</v>
      </c>
      <c r="Y541" s="3"/>
      <c r="Z541" s="3"/>
      <c r="AA541" s="3"/>
      <c r="AB541" s="3"/>
      <c r="AC541" s="3">
        <f t="shared" si="134"/>
        <v>0</v>
      </c>
      <c r="AD541" s="3"/>
      <c r="AE541" s="3"/>
      <c r="AF541" s="3"/>
      <c r="AG541" s="3"/>
      <c r="AH541" s="3">
        <f t="shared" si="118"/>
        <v>0</v>
      </c>
      <c r="AI541" s="3"/>
      <c r="AJ541" s="3"/>
      <c r="AK541" s="3"/>
      <c r="AL541" s="3"/>
      <c r="AM541" s="3">
        <f t="shared" si="119"/>
        <v>0</v>
      </c>
      <c r="AN541" s="3"/>
      <c r="AO541" s="3"/>
      <c r="AP541" s="3"/>
      <c r="AQ541" s="3"/>
    </row>
    <row r="542" spans="1:43" ht="35.450000000000003" customHeight="1" thickBot="1">
      <c r="A542" s="72" t="s">
        <v>65</v>
      </c>
      <c r="B542" s="104"/>
      <c r="C542" s="150"/>
      <c r="D542" s="111"/>
      <c r="E542" s="111"/>
      <c r="F542" s="3"/>
      <c r="G542" s="3"/>
      <c r="H542" s="3"/>
      <c r="I542" s="4"/>
      <c r="J542" s="3"/>
      <c r="K542" s="3"/>
      <c r="L542" s="3"/>
      <c r="M542" s="87" t="s">
        <v>729</v>
      </c>
      <c r="N542" s="3">
        <f t="shared" si="132"/>
        <v>0</v>
      </c>
      <c r="O542" s="3">
        <f t="shared" si="120"/>
        <v>0</v>
      </c>
      <c r="P542" s="3"/>
      <c r="Q542" s="3"/>
      <c r="R542" s="3"/>
      <c r="S542" s="3"/>
      <c r="T542" s="3"/>
      <c r="U542" s="3"/>
      <c r="V542" s="3"/>
      <c r="W542" s="3"/>
      <c r="X542" s="3">
        <f t="shared" si="133"/>
        <v>0</v>
      </c>
      <c r="Y542" s="3"/>
      <c r="Z542" s="3"/>
      <c r="AA542" s="3"/>
      <c r="AB542" s="3"/>
      <c r="AC542" s="3">
        <f t="shared" si="134"/>
        <v>0</v>
      </c>
      <c r="AD542" s="3"/>
      <c r="AE542" s="3"/>
      <c r="AF542" s="3"/>
      <c r="AG542" s="3"/>
      <c r="AH542" s="3">
        <f t="shared" si="118"/>
        <v>0</v>
      </c>
      <c r="AI542" s="3"/>
      <c r="AJ542" s="3"/>
      <c r="AK542" s="3"/>
      <c r="AL542" s="3"/>
      <c r="AM542" s="3">
        <f t="shared" si="119"/>
        <v>0</v>
      </c>
      <c r="AN542" s="3"/>
      <c r="AO542" s="3"/>
      <c r="AP542" s="3"/>
      <c r="AQ542" s="3"/>
    </row>
    <row r="543" spans="1:43" ht="35.450000000000003" customHeight="1" thickBot="1">
      <c r="A543" s="72" t="s">
        <v>65</v>
      </c>
      <c r="B543" s="104"/>
      <c r="C543" s="150"/>
      <c r="D543" s="111"/>
      <c r="E543" s="111"/>
      <c r="F543" s="3"/>
      <c r="G543" s="3"/>
      <c r="H543" s="3"/>
      <c r="I543" s="4"/>
      <c r="J543" s="3"/>
      <c r="K543" s="3"/>
      <c r="L543" s="3"/>
      <c r="M543" s="87" t="s">
        <v>730</v>
      </c>
      <c r="N543" s="3">
        <f t="shared" si="132"/>
        <v>7394.7999999999993</v>
      </c>
      <c r="O543" s="3">
        <f t="shared" si="120"/>
        <v>7344.8</v>
      </c>
      <c r="P543" s="3"/>
      <c r="Q543" s="3"/>
      <c r="R543" s="3"/>
      <c r="S543" s="3"/>
      <c r="T543" s="3"/>
      <c r="U543" s="3"/>
      <c r="V543" s="3">
        <f>1500+2405.2+4235.7-746.1</f>
        <v>7394.7999999999993</v>
      </c>
      <c r="W543" s="3">
        <v>7344.8</v>
      </c>
      <c r="X543" s="3">
        <f t="shared" si="133"/>
        <v>8934.5</v>
      </c>
      <c r="Y543" s="3"/>
      <c r="Z543" s="3"/>
      <c r="AA543" s="3"/>
      <c r="AB543" s="3">
        <f>7981.4+1219.6-266.5</f>
        <v>8934.5</v>
      </c>
      <c r="AC543" s="3">
        <f t="shared" si="134"/>
        <v>5233.7</v>
      </c>
      <c r="AD543" s="3"/>
      <c r="AE543" s="3"/>
      <c r="AF543" s="3"/>
      <c r="AG543" s="3">
        <f>7981.4-2747.7</f>
        <v>5233.7</v>
      </c>
      <c r="AH543" s="3">
        <f t="shared" si="118"/>
        <v>7981.4</v>
      </c>
      <c r="AI543" s="3"/>
      <c r="AJ543" s="3"/>
      <c r="AK543" s="3"/>
      <c r="AL543" s="3">
        <v>7981.4</v>
      </c>
      <c r="AM543" s="3">
        <f t="shared" si="119"/>
        <v>7981.4</v>
      </c>
      <c r="AN543" s="3"/>
      <c r="AO543" s="3"/>
      <c r="AP543" s="3"/>
      <c r="AQ543" s="3">
        <v>7981.4</v>
      </c>
    </row>
    <row r="544" spans="1:43" ht="35.450000000000003" customHeight="1" thickBot="1">
      <c r="A544" s="72" t="s">
        <v>65</v>
      </c>
      <c r="B544" s="104"/>
      <c r="C544" s="150"/>
      <c r="D544" s="111"/>
      <c r="E544" s="111"/>
      <c r="F544" s="3"/>
      <c r="G544" s="3"/>
      <c r="H544" s="3"/>
      <c r="I544" s="4"/>
      <c r="J544" s="3"/>
      <c r="K544" s="3"/>
      <c r="L544" s="3"/>
      <c r="M544" s="87" t="s">
        <v>731</v>
      </c>
      <c r="N544" s="3">
        <f t="shared" si="132"/>
        <v>0</v>
      </c>
      <c r="O544" s="3">
        <f t="shared" si="132"/>
        <v>0</v>
      </c>
      <c r="P544" s="3"/>
      <c r="Q544" s="3"/>
      <c r="R544" s="3"/>
      <c r="S544" s="3"/>
      <c r="T544" s="3"/>
      <c r="U544" s="3"/>
      <c r="V544" s="3"/>
      <c r="W544" s="3"/>
      <c r="X544" s="3">
        <f t="shared" si="133"/>
        <v>0</v>
      </c>
      <c r="Y544" s="3"/>
      <c r="Z544" s="3"/>
      <c r="AA544" s="3"/>
      <c r="AB544" s="3"/>
      <c r="AC544" s="3">
        <f t="shared" si="134"/>
        <v>0</v>
      </c>
      <c r="AD544" s="3"/>
      <c r="AE544" s="3"/>
      <c r="AF544" s="3"/>
      <c r="AG544" s="3"/>
      <c r="AH544" s="3">
        <f t="shared" si="118"/>
        <v>0</v>
      </c>
      <c r="AI544" s="3"/>
      <c r="AJ544" s="3"/>
      <c r="AK544" s="3"/>
      <c r="AL544" s="3"/>
      <c r="AM544" s="3">
        <f t="shared" si="119"/>
        <v>0</v>
      </c>
      <c r="AN544" s="3"/>
      <c r="AO544" s="3"/>
      <c r="AP544" s="3"/>
      <c r="AQ544" s="3"/>
    </row>
    <row r="545" spans="1:43" ht="35.450000000000003" customHeight="1" thickBot="1">
      <c r="A545" s="72" t="s">
        <v>65</v>
      </c>
      <c r="B545" s="104" t="s">
        <v>732</v>
      </c>
      <c r="C545" s="150"/>
      <c r="D545" s="111"/>
      <c r="E545" s="111"/>
      <c r="F545" s="3"/>
      <c r="G545" s="3"/>
      <c r="H545" s="3"/>
      <c r="I545" s="4"/>
      <c r="J545" s="3"/>
      <c r="K545" s="3"/>
      <c r="L545" s="3"/>
      <c r="M545" s="87" t="s">
        <v>733</v>
      </c>
      <c r="N545" s="3">
        <f t="shared" si="132"/>
        <v>1170.2</v>
      </c>
      <c r="O545" s="3">
        <f t="shared" si="132"/>
        <v>1170.2</v>
      </c>
      <c r="P545" s="3"/>
      <c r="Q545" s="3"/>
      <c r="R545" s="3"/>
      <c r="S545" s="3"/>
      <c r="T545" s="3"/>
      <c r="U545" s="3"/>
      <c r="V545" s="3">
        <v>1170.2</v>
      </c>
      <c r="W545" s="3">
        <v>1170.2</v>
      </c>
      <c r="X545" s="3">
        <f t="shared" si="133"/>
        <v>1100</v>
      </c>
      <c r="Y545" s="3"/>
      <c r="Z545" s="3"/>
      <c r="AA545" s="3"/>
      <c r="AB545" s="3">
        <v>1100</v>
      </c>
      <c r="AC545" s="3">
        <f t="shared" si="134"/>
        <v>1100</v>
      </c>
      <c r="AD545" s="3"/>
      <c r="AE545" s="3"/>
      <c r="AF545" s="3"/>
      <c r="AG545" s="3">
        <v>1100</v>
      </c>
      <c r="AH545" s="3">
        <f t="shared" si="118"/>
        <v>1100</v>
      </c>
      <c r="AI545" s="3"/>
      <c r="AJ545" s="3"/>
      <c r="AK545" s="3"/>
      <c r="AL545" s="3">
        <v>1100</v>
      </c>
      <c r="AM545" s="3">
        <f t="shared" si="119"/>
        <v>1100</v>
      </c>
      <c r="AN545" s="3"/>
      <c r="AO545" s="3"/>
      <c r="AP545" s="3"/>
      <c r="AQ545" s="3">
        <v>1100</v>
      </c>
    </row>
    <row r="546" spans="1:43" ht="35.450000000000003" customHeight="1" thickBot="1">
      <c r="A546" s="72" t="s">
        <v>65</v>
      </c>
      <c r="B546" s="104"/>
      <c r="C546" s="150"/>
      <c r="D546" s="111"/>
      <c r="E546" s="111"/>
      <c r="F546" s="3"/>
      <c r="G546" s="3"/>
      <c r="H546" s="3"/>
      <c r="I546" s="3"/>
      <c r="J546" s="3"/>
      <c r="K546" s="3"/>
      <c r="L546" s="3"/>
      <c r="M546" s="87" t="s">
        <v>734</v>
      </c>
      <c r="N546" s="3">
        <f t="shared" si="132"/>
        <v>0</v>
      </c>
      <c r="O546" s="3">
        <f t="shared" si="132"/>
        <v>0</v>
      </c>
      <c r="P546" s="3"/>
      <c r="Q546" s="3"/>
      <c r="R546" s="3"/>
      <c r="S546" s="3"/>
      <c r="T546" s="3"/>
      <c r="U546" s="3"/>
      <c r="V546" s="3"/>
      <c r="W546" s="3"/>
      <c r="X546" s="3">
        <f t="shared" si="133"/>
        <v>0</v>
      </c>
      <c r="Y546" s="3"/>
      <c r="Z546" s="3"/>
      <c r="AA546" s="3"/>
      <c r="AB546" s="3"/>
      <c r="AC546" s="3">
        <f t="shared" si="134"/>
        <v>0</v>
      </c>
      <c r="AD546" s="3"/>
      <c r="AE546" s="3"/>
      <c r="AF546" s="3"/>
      <c r="AG546" s="3"/>
      <c r="AH546" s="3">
        <f t="shared" si="118"/>
        <v>0</v>
      </c>
      <c r="AI546" s="3"/>
      <c r="AJ546" s="3"/>
      <c r="AK546" s="3"/>
      <c r="AL546" s="3"/>
      <c r="AM546" s="3">
        <f t="shared" si="119"/>
        <v>0</v>
      </c>
      <c r="AN546" s="3"/>
      <c r="AO546" s="3"/>
      <c r="AP546" s="3"/>
      <c r="AQ546" s="3"/>
    </row>
    <row r="547" spans="1:43" ht="35.450000000000003" customHeight="1" thickBot="1">
      <c r="A547" s="72" t="s">
        <v>65</v>
      </c>
      <c r="B547" s="104"/>
      <c r="C547" s="150"/>
      <c r="D547" s="111"/>
      <c r="E547" s="111"/>
      <c r="F547" s="3"/>
      <c r="G547" s="3"/>
      <c r="H547" s="3"/>
      <c r="I547" s="3"/>
      <c r="J547" s="3"/>
      <c r="K547" s="3"/>
      <c r="L547" s="3"/>
      <c r="M547" s="87" t="s">
        <v>735</v>
      </c>
      <c r="N547" s="3">
        <f t="shared" si="132"/>
        <v>0</v>
      </c>
      <c r="O547" s="3">
        <f t="shared" si="132"/>
        <v>0</v>
      </c>
      <c r="P547" s="3"/>
      <c r="Q547" s="3"/>
      <c r="R547" s="3"/>
      <c r="S547" s="3"/>
      <c r="T547" s="3"/>
      <c r="U547" s="3"/>
      <c r="V547" s="3"/>
      <c r="W547" s="3"/>
      <c r="X547" s="3">
        <f t="shared" si="133"/>
        <v>0</v>
      </c>
      <c r="Y547" s="3"/>
      <c r="Z547" s="3"/>
      <c r="AA547" s="3"/>
      <c r="AB547" s="3"/>
      <c r="AC547" s="3">
        <f t="shared" si="134"/>
        <v>0</v>
      </c>
      <c r="AD547" s="3"/>
      <c r="AE547" s="3"/>
      <c r="AF547" s="3"/>
      <c r="AG547" s="3"/>
      <c r="AH547" s="3">
        <f t="shared" si="118"/>
        <v>0</v>
      </c>
      <c r="AI547" s="3"/>
      <c r="AJ547" s="3"/>
      <c r="AK547" s="3"/>
      <c r="AL547" s="3"/>
      <c r="AM547" s="3">
        <f t="shared" si="119"/>
        <v>0</v>
      </c>
      <c r="AN547" s="3"/>
      <c r="AO547" s="3"/>
      <c r="AP547" s="3"/>
      <c r="AQ547" s="3"/>
    </row>
    <row r="548" spans="1:43" ht="35.450000000000003" customHeight="1" thickBot="1">
      <c r="A548" s="72" t="s">
        <v>65</v>
      </c>
      <c r="B548" s="104"/>
      <c r="C548" s="150"/>
      <c r="D548" s="111"/>
      <c r="E548" s="111"/>
      <c r="F548" s="3"/>
      <c r="G548" s="3"/>
      <c r="H548" s="3"/>
      <c r="I548" s="3"/>
      <c r="J548" s="3"/>
      <c r="K548" s="3"/>
      <c r="L548" s="3"/>
      <c r="M548" s="87" t="s">
        <v>736</v>
      </c>
      <c r="N548" s="3">
        <f t="shared" si="132"/>
        <v>0</v>
      </c>
      <c r="O548" s="3">
        <f t="shared" si="132"/>
        <v>0</v>
      </c>
      <c r="P548" s="3"/>
      <c r="Q548" s="3"/>
      <c r="R548" s="3"/>
      <c r="S548" s="3"/>
      <c r="T548" s="3"/>
      <c r="U548" s="3"/>
      <c r="V548" s="3"/>
      <c r="W548" s="3"/>
      <c r="X548" s="3">
        <f t="shared" si="133"/>
        <v>0</v>
      </c>
      <c r="Y548" s="3"/>
      <c r="Z548" s="3"/>
      <c r="AA548" s="3"/>
      <c r="AB548" s="3"/>
      <c r="AC548" s="3">
        <f t="shared" si="134"/>
        <v>0</v>
      </c>
      <c r="AD548" s="3"/>
      <c r="AE548" s="3"/>
      <c r="AF548" s="3"/>
      <c r="AG548" s="3"/>
      <c r="AH548" s="3">
        <f t="shared" si="118"/>
        <v>0</v>
      </c>
      <c r="AI548" s="3"/>
      <c r="AJ548" s="3"/>
      <c r="AK548" s="3"/>
      <c r="AL548" s="3"/>
      <c r="AM548" s="3">
        <f t="shared" si="119"/>
        <v>0</v>
      </c>
      <c r="AN548" s="3"/>
      <c r="AO548" s="3"/>
      <c r="AP548" s="3"/>
      <c r="AQ548" s="3"/>
    </row>
    <row r="549" spans="1:43" ht="35.450000000000003" customHeight="1" thickBot="1">
      <c r="A549" s="72" t="s">
        <v>65</v>
      </c>
      <c r="B549" s="104"/>
      <c r="C549" s="150"/>
      <c r="D549" s="111"/>
      <c r="E549" s="111"/>
      <c r="F549" s="3"/>
      <c r="G549" s="3"/>
      <c r="H549" s="3"/>
      <c r="I549" s="4"/>
      <c r="J549" s="3"/>
      <c r="K549" s="3"/>
      <c r="L549" s="3"/>
      <c r="M549" s="87" t="s">
        <v>737</v>
      </c>
      <c r="N549" s="3">
        <f t="shared" si="132"/>
        <v>0</v>
      </c>
      <c r="O549" s="3">
        <f t="shared" si="132"/>
        <v>0</v>
      </c>
      <c r="P549" s="3"/>
      <c r="Q549" s="3"/>
      <c r="R549" s="3"/>
      <c r="S549" s="3"/>
      <c r="T549" s="3"/>
      <c r="U549" s="3"/>
      <c r="V549" s="3"/>
      <c r="W549" s="3"/>
      <c r="X549" s="3">
        <f t="shared" si="133"/>
        <v>0</v>
      </c>
      <c r="Y549" s="3"/>
      <c r="Z549" s="3"/>
      <c r="AA549" s="3"/>
      <c r="AB549" s="3"/>
      <c r="AC549" s="3">
        <f t="shared" si="134"/>
        <v>0</v>
      </c>
      <c r="AD549" s="3"/>
      <c r="AE549" s="3"/>
      <c r="AF549" s="3"/>
      <c r="AG549" s="3"/>
      <c r="AH549" s="3">
        <f t="shared" si="118"/>
        <v>0</v>
      </c>
      <c r="AI549" s="3"/>
      <c r="AJ549" s="3"/>
      <c r="AK549" s="3"/>
      <c r="AL549" s="3"/>
      <c r="AM549" s="3">
        <f t="shared" si="119"/>
        <v>0</v>
      </c>
      <c r="AN549" s="3"/>
      <c r="AO549" s="3"/>
      <c r="AP549" s="3"/>
      <c r="AQ549" s="3"/>
    </row>
    <row r="550" spans="1:43" ht="35.450000000000003" customHeight="1" thickBot="1">
      <c r="A550" s="72" t="s">
        <v>65</v>
      </c>
      <c r="B550" s="104"/>
      <c r="C550" s="150"/>
      <c r="D550" s="111"/>
      <c r="E550" s="111"/>
      <c r="F550" s="3"/>
      <c r="G550" s="3"/>
      <c r="H550" s="3"/>
      <c r="I550" s="4"/>
      <c r="J550" s="3"/>
      <c r="K550" s="3"/>
      <c r="L550" s="3"/>
      <c r="M550" s="87" t="s">
        <v>738</v>
      </c>
      <c r="N550" s="3"/>
      <c r="O550" s="3">
        <f t="shared" si="132"/>
        <v>0</v>
      </c>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row>
    <row r="551" spans="1:43" ht="35.450000000000003" customHeight="1" thickBot="1">
      <c r="A551" s="72" t="s">
        <v>65</v>
      </c>
      <c r="B551" s="104"/>
      <c r="C551" s="150"/>
      <c r="D551" s="111"/>
      <c r="E551" s="111"/>
      <c r="F551" s="3"/>
      <c r="G551" s="3"/>
      <c r="H551" s="3"/>
      <c r="I551" s="4"/>
      <c r="J551" s="3"/>
      <c r="K551" s="3"/>
      <c r="L551" s="3"/>
      <c r="M551" s="87" t="s">
        <v>739</v>
      </c>
      <c r="N551" s="3"/>
      <c r="O551" s="3">
        <f t="shared" si="132"/>
        <v>0</v>
      </c>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row>
    <row r="552" spans="1:43" ht="35.450000000000003" customHeight="1" thickBot="1">
      <c r="A552" s="72" t="s">
        <v>65</v>
      </c>
      <c r="B552" s="104"/>
      <c r="C552" s="150"/>
      <c r="D552" s="111"/>
      <c r="E552" s="111"/>
      <c r="F552" s="3"/>
      <c r="G552" s="3"/>
      <c r="H552" s="3"/>
      <c r="I552" s="4"/>
      <c r="J552" s="3"/>
      <c r="K552" s="3"/>
      <c r="L552" s="3"/>
      <c r="M552" s="87" t="s">
        <v>740</v>
      </c>
      <c r="N552" s="3"/>
      <c r="O552" s="3">
        <f t="shared" si="132"/>
        <v>0</v>
      </c>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row>
    <row r="553" spans="1:43" ht="35.450000000000003" customHeight="1" thickBot="1">
      <c r="A553" s="72" t="s">
        <v>65</v>
      </c>
      <c r="B553" s="104"/>
      <c r="C553" s="150"/>
      <c r="D553" s="111"/>
      <c r="E553" s="111"/>
      <c r="F553" s="3"/>
      <c r="G553" s="3"/>
      <c r="H553" s="3"/>
      <c r="I553" s="4"/>
      <c r="J553" s="3"/>
      <c r="K553" s="3"/>
      <c r="L553" s="3"/>
      <c r="M553" s="87" t="s">
        <v>741</v>
      </c>
      <c r="N553" s="3"/>
      <c r="O553" s="3">
        <f t="shared" si="132"/>
        <v>0</v>
      </c>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row>
    <row r="554" spans="1:43" ht="35.450000000000003" customHeight="1" thickBot="1">
      <c r="A554" s="72" t="s">
        <v>65</v>
      </c>
      <c r="B554" s="104"/>
      <c r="C554" s="150"/>
      <c r="D554" s="111"/>
      <c r="E554" s="111"/>
      <c r="F554" s="3"/>
      <c r="G554" s="3"/>
      <c r="H554" s="3"/>
      <c r="I554" s="4"/>
      <c r="J554" s="3"/>
      <c r="K554" s="3"/>
      <c r="L554" s="3"/>
      <c r="M554" s="87" t="s">
        <v>742</v>
      </c>
      <c r="N554" s="3"/>
      <c r="O554" s="3">
        <f t="shared" si="132"/>
        <v>0</v>
      </c>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row>
    <row r="555" spans="1:43" ht="35.450000000000003" customHeight="1" thickBot="1">
      <c r="A555" s="72" t="s">
        <v>65</v>
      </c>
      <c r="B555" s="104"/>
      <c r="C555" s="150"/>
      <c r="D555" s="111"/>
      <c r="E555" s="111"/>
      <c r="F555" s="3"/>
      <c r="G555" s="3"/>
      <c r="H555" s="3"/>
      <c r="I555" s="4"/>
      <c r="J555" s="3"/>
      <c r="K555" s="3"/>
      <c r="L555" s="3"/>
      <c r="M555" s="87" t="s">
        <v>743</v>
      </c>
      <c r="N555" s="3">
        <f t="shared" ref="N555:O570" si="135">P555+R555+T555+V555</f>
        <v>3186.8</v>
      </c>
      <c r="O555" s="3">
        <f t="shared" si="132"/>
        <v>3186.8</v>
      </c>
      <c r="P555" s="3"/>
      <c r="Q555" s="3"/>
      <c r="R555" s="3"/>
      <c r="S555" s="3"/>
      <c r="T555" s="3"/>
      <c r="U555" s="3"/>
      <c r="V555" s="3">
        <f>3000+186.8</f>
        <v>3186.8</v>
      </c>
      <c r="W555" s="3">
        <v>3186.8</v>
      </c>
      <c r="X555" s="3">
        <f t="shared" ref="X555:X566" si="136">Y555+Z555+AA555+AB555</f>
        <v>7920.8</v>
      </c>
      <c r="Y555" s="3"/>
      <c r="Z555" s="3"/>
      <c r="AA555" s="3"/>
      <c r="AB555" s="3">
        <f>3000+3600+200+520.8+600</f>
        <v>7920.8</v>
      </c>
      <c r="AC555" s="3">
        <f t="shared" ref="AC555:AC566" si="137">AD555+AE555+AF555+AG555</f>
        <v>3000</v>
      </c>
      <c r="AD555" s="3"/>
      <c r="AE555" s="3"/>
      <c r="AF555" s="3"/>
      <c r="AG555" s="3">
        <v>3000</v>
      </c>
      <c r="AH555" s="3">
        <f t="shared" si="118"/>
        <v>3000</v>
      </c>
      <c r="AI555" s="3"/>
      <c r="AJ555" s="3"/>
      <c r="AK555" s="3"/>
      <c r="AL555" s="3">
        <v>3000</v>
      </c>
      <c r="AM555" s="3">
        <f t="shared" si="119"/>
        <v>3000</v>
      </c>
      <c r="AN555" s="3"/>
      <c r="AO555" s="3"/>
      <c r="AP555" s="3"/>
      <c r="AQ555" s="3">
        <v>3000</v>
      </c>
    </row>
    <row r="556" spans="1:43" ht="35.450000000000003" customHeight="1" thickBot="1">
      <c r="A556" s="72" t="s">
        <v>65</v>
      </c>
      <c r="B556" s="104"/>
      <c r="C556" s="161"/>
      <c r="D556" s="117"/>
      <c r="E556" s="117"/>
      <c r="F556" s="3"/>
      <c r="G556" s="3"/>
      <c r="H556" s="3"/>
      <c r="I556" s="4"/>
      <c r="J556" s="3"/>
      <c r="K556" s="3"/>
      <c r="L556" s="3"/>
      <c r="M556" s="87" t="s">
        <v>744</v>
      </c>
      <c r="N556" s="3">
        <f t="shared" si="135"/>
        <v>18791</v>
      </c>
      <c r="O556" s="3">
        <f t="shared" si="135"/>
        <v>16657.2</v>
      </c>
      <c r="P556" s="3"/>
      <c r="Q556" s="3"/>
      <c r="R556" s="3"/>
      <c r="S556" s="3"/>
      <c r="T556" s="3"/>
      <c r="U556" s="3"/>
      <c r="V556" s="3">
        <f>17173.6+1617.4</f>
        <v>18791</v>
      </c>
      <c r="W556" s="3">
        <v>16657.2</v>
      </c>
      <c r="X556" s="3">
        <f t="shared" si="136"/>
        <v>21029.600000000002</v>
      </c>
      <c r="Y556" s="3"/>
      <c r="Z556" s="3"/>
      <c r="AA556" s="3"/>
      <c r="AB556" s="3">
        <f>18300+1604.9+1124.7</f>
        <v>21029.600000000002</v>
      </c>
      <c r="AC556" s="3">
        <f t="shared" si="137"/>
        <v>23045</v>
      </c>
      <c r="AD556" s="3"/>
      <c r="AE556" s="3"/>
      <c r="AF556" s="3"/>
      <c r="AG556" s="3">
        <f>17483.8+5561.2</f>
        <v>23045</v>
      </c>
      <c r="AH556" s="3">
        <f t="shared" si="118"/>
        <v>17483.8</v>
      </c>
      <c r="AI556" s="3"/>
      <c r="AJ556" s="3"/>
      <c r="AK556" s="3"/>
      <c r="AL556" s="3">
        <v>17483.8</v>
      </c>
      <c r="AM556" s="3">
        <f t="shared" si="119"/>
        <v>17483.8</v>
      </c>
      <c r="AN556" s="3"/>
      <c r="AO556" s="3"/>
      <c r="AP556" s="3"/>
      <c r="AQ556" s="3">
        <v>17483.8</v>
      </c>
    </row>
    <row r="557" spans="1:43" ht="35.450000000000003" customHeight="1" thickBot="1">
      <c r="A557" s="72" t="s">
        <v>745</v>
      </c>
      <c r="B557" s="104"/>
      <c r="C557" s="71"/>
      <c r="D557" s="3"/>
      <c r="E557" s="3"/>
      <c r="F557" s="3"/>
      <c r="G557" s="3"/>
      <c r="H557" s="3"/>
      <c r="I557" s="4"/>
      <c r="J557" s="3"/>
      <c r="K557" s="3"/>
      <c r="L557" s="3"/>
      <c r="M557" s="87" t="s">
        <v>746</v>
      </c>
      <c r="N557" s="3">
        <f t="shared" si="135"/>
        <v>0</v>
      </c>
      <c r="O557" s="3">
        <f t="shared" si="135"/>
        <v>0</v>
      </c>
      <c r="P557" s="3"/>
      <c r="Q557" s="3"/>
      <c r="R557" s="3"/>
      <c r="S557" s="3"/>
      <c r="T557" s="3"/>
      <c r="U557" s="3"/>
      <c r="V557" s="3">
        <f>1100-1100</f>
        <v>0</v>
      </c>
      <c r="W557" s="3"/>
      <c r="X557" s="3">
        <f t="shared" si="136"/>
        <v>0</v>
      </c>
      <c r="Y557" s="3"/>
      <c r="Z557" s="3"/>
      <c r="AA557" s="3"/>
      <c r="AB557" s="3">
        <v>0</v>
      </c>
      <c r="AC557" s="3">
        <f t="shared" si="137"/>
        <v>0</v>
      </c>
      <c r="AD557" s="3"/>
      <c r="AE557" s="3"/>
      <c r="AF557" s="3"/>
      <c r="AG557" s="3">
        <v>0</v>
      </c>
      <c r="AH557" s="3">
        <f t="shared" si="118"/>
        <v>0</v>
      </c>
      <c r="AI557" s="3"/>
      <c r="AJ557" s="3"/>
      <c r="AK557" s="3"/>
      <c r="AL557" s="3">
        <v>0</v>
      </c>
      <c r="AM557" s="3">
        <f t="shared" si="119"/>
        <v>0</v>
      </c>
      <c r="AN557" s="3"/>
      <c r="AO557" s="3"/>
      <c r="AP557" s="3"/>
      <c r="AQ557" s="3">
        <v>0</v>
      </c>
    </row>
    <row r="558" spans="1:43" ht="35.450000000000003" customHeight="1" thickBot="1">
      <c r="A558" s="72" t="s">
        <v>65</v>
      </c>
      <c r="B558" s="104"/>
      <c r="C558" s="105"/>
      <c r="D558" s="106"/>
      <c r="E558" s="106"/>
      <c r="F558" s="3"/>
      <c r="G558" s="3"/>
      <c r="H558" s="3"/>
      <c r="I558" s="4"/>
      <c r="J558" s="3"/>
      <c r="K558" s="3"/>
      <c r="L558" s="3"/>
      <c r="M558" s="87" t="s">
        <v>747</v>
      </c>
      <c r="N558" s="3">
        <f t="shared" si="135"/>
        <v>0</v>
      </c>
      <c r="O558" s="3">
        <f t="shared" si="135"/>
        <v>0</v>
      </c>
      <c r="P558" s="3"/>
      <c r="Q558" s="3"/>
      <c r="R558" s="3"/>
      <c r="S558" s="3"/>
      <c r="T558" s="3"/>
      <c r="U558" s="3"/>
      <c r="V558" s="3"/>
      <c r="W558" s="3"/>
      <c r="X558" s="3">
        <f t="shared" si="136"/>
        <v>0</v>
      </c>
      <c r="Y558" s="3"/>
      <c r="Z558" s="3"/>
      <c r="AA558" s="3"/>
      <c r="AB558" s="3"/>
      <c r="AC558" s="3">
        <f t="shared" si="137"/>
        <v>0</v>
      </c>
      <c r="AD558" s="3"/>
      <c r="AE558" s="3"/>
      <c r="AF558" s="3"/>
      <c r="AG558" s="3"/>
      <c r="AH558" s="3">
        <f t="shared" si="118"/>
        <v>0</v>
      </c>
      <c r="AI558" s="3"/>
      <c r="AJ558" s="3"/>
      <c r="AK558" s="3"/>
      <c r="AL558" s="3"/>
      <c r="AM558" s="3">
        <f t="shared" si="119"/>
        <v>0</v>
      </c>
      <c r="AN558" s="3"/>
      <c r="AO558" s="3"/>
      <c r="AP558" s="3"/>
      <c r="AQ558" s="3"/>
    </row>
    <row r="559" spans="1:43" ht="35.450000000000003" customHeight="1" thickBot="1">
      <c r="A559" s="72" t="s">
        <v>65</v>
      </c>
      <c r="B559" s="104"/>
      <c r="C559" s="110"/>
      <c r="D559" s="111"/>
      <c r="E559" s="111"/>
      <c r="F559" s="3"/>
      <c r="G559" s="3"/>
      <c r="H559" s="3"/>
      <c r="I559" s="3"/>
      <c r="J559" s="3"/>
      <c r="K559" s="3"/>
      <c r="L559" s="3"/>
      <c r="M559" s="87" t="s">
        <v>748</v>
      </c>
      <c r="N559" s="3">
        <f t="shared" si="135"/>
        <v>0</v>
      </c>
      <c r="O559" s="3">
        <f t="shared" si="135"/>
        <v>0</v>
      </c>
      <c r="P559" s="3"/>
      <c r="Q559" s="3"/>
      <c r="R559" s="3"/>
      <c r="S559" s="3"/>
      <c r="T559" s="3"/>
      <c r="U559" s="3"/>
      <c r="V559" s="3"/>
      <c r="W559" s="3"/>
      <c r="X559" s="3">
        <f t="shared" si="136"/>
        <v>0</v>
      </c>
      <c r="Y559" s="3"/>
      <c r="Z559" s="3"/>
      <c r="AA559" s="3"/>
      <c r="AB559" s="3"/>
      <c r="AC559" s="3">
        <f t="shared" si="137"/>
        <v>0</v>
      </c>
      <c r="AD559" s="3"/>
      <c r="AE559" s="3"/>
      <c r="AF559" s="3"/>
      <c r="AG559" s="3"/>
      <c r="AH559" s="3">
        <f t="shared" si="118"/>
        <v>0</v>
      </c>
      <c r="AI559" s="3"/>
      <c r="AJ559" s="3"/>
      <c r="AK559" s="3"/>
      <c r="AL559" s="3"/>
      <c r="AM559" s="3">
        <f t="shared" si="119"/>
        <v>0</v>
      </c>
      <c r="AN559" s="3"/>
      <c r="AO559" s="3"/>
      <c r="AP559" s="3"/>
      <c r="AQ559" s="3"/>
    </row>
    <row r="560" spans="1:43" ht="35.450000000000003" customHeight="1" thickBot="1">
      <c r="A560" s="72" t="s">
        <v>65</v>
      </c>
      <c r="B560" s="104"/>
      <c r="C560" s="110"/>
      <c r="D560" s="111"/>
      <c r="E560" s="111"/>
      <c r="F560" s="3"/>
      <c r="G560" s="3"/>
      <c r="H560" s="3"/>
      <c r="I560" s="202"/>
      <c r="J560" s="3"/>
      <c r="K560" s="3"/>
      <c r="L560" s="3"/>
      <c r="M560" s="87" t="s">
        <v>749</v>
      </c>
      <c r="N560" s="3">
        <f t="shared" si="135"/>
        <v>0</v>
      </c>
      <c r="O560" s="3">
        <f t="shared" si="135"/>
        <v>0</v>
      </c>
      <c r="P560" s="3"/>
      <c r="Q560" s="3"/>
      <c r="R560" s="3"/>
      <c r="S560" s="3"/>
      <c r="T560" s="3"/>
      <c r="U560" s="3"/>
      <c r="V560" s="3"/>
      <c r="W560" s="3"/>
      <c r="X560" s="3">
        <f t="shared" si="136"/>
        <v>0</v>
      </c>
      <c r="Y560" s="3"/>
      <c r="Z560" s="3"/>
      <c r="AA560" s="3"/>
      <c r="AB560" s="3"/>
      <c r="AC560" s="3">
        <f t="shared" si="137"/>
        <v>0</v>
      </c>
      <c r="AD560" s="3"/>
      <c r="AE560" s="3"/>
      <c r="AF560" s="3"/>
      <c r="AG560" s="3"/>
      <c r="AH560" s="3">
        <f t="shared" si="118"/>
        <v>0</v>
      </c>
      <c r="AI560" s="3"/>
      <c r="AJ560" s="3"/>
      <c r="AK560" s="3"/>
      <c r="AL560" s="3"/>
      <c r="AM560" s="3">
        <f t="shared" si="119"/>
        <v>0</v>
      </c>
      <c r="AN560" s="3"/>
      <c r="AO560" s="3"/>
      <c r="AP560" s="3"/>
      <c r="AQ560" s="3"/>
    </row>
    <row r="561" spans="1:43" ht="35.450000000000003" customHeight="1" thickBot="1">
      <c r="A561" s="72" t="s">
        <v>65</v>
      </c>
      <c r="B561" s="104"/>
      <c r="C561" s="110"/>
      <c r="D561" s="111"/>
      <c r="E561" s="111"/>
      <c r="F561" s="3"/>
      <c r="G561" s="3"/>
      <c r="H561" s="3"/>
      <c r="I561" s="3"/>
      <c r="J561" s="3"/>
      <c r="K561" s="3"/>
      <c r="L561" s="3"/>
      <c r="M561" s="87" t="s">
        <v>748</v>
      </c>
      <c r="N561" s="3">
        <f t="shared" si="135"/>
        <v>0</v>
      </c>
      <c r="O561" s="3">
        <f t="shared" si="135"/>
        <v>0</v>
      </c>
      <c r="P561" s="3"/>
      <c r="Q561" s="3"/>
      <c r="R561" s="3"/>
      <c r="S561" s="3"/>
      <c r="T561" s="3"/>
      <c r="U561" s="3"/>
      <c r="V561" s="3"/>
      <c r="W561" s="3"/>
      <c r="X561" s="3">
        <f t="shared" si="136"/>
        <v>0</v>
      </c>
      <c r="Y561" s="3"/>
      <c r="Z561" s="3"/>
      <c r="AA561" s="3"/>
      <c r="AB561" s="3"/>
      <c r="AC561" s="3">
        <f t="shared" si="137"/>
        <v>0</v>
      </c>
      <c r="AD561" s="3"/>
      <c r="AE561" s="3"/>
      <c r="AF561" s="3"/>
      <c r="AG561" s="3"/>
      <c r="AH561" s="3">
        <f t="shared" si="118"/>
        <v>0</v>
      </c>
      <c r="AI561" s="3"/>
      <c r="AJ561" s="3"/>
      <c r="AK561" s="3"/>
      <c r="AL561" s="3"/>
      <c r="AM561" s="3">
        <f t="shared" si="119"/>
        <v>0</v>
      </c>
      <c r="AN561" s="3"/>
      <c r="AO561" s="3"/>
      <c r="AP561" s="3"/>
      <c r="AQ561" s="3"/>
    </row>
    <row r="562" spans="1:43" ht="35.450000000000003" customHeight="1" thickBot="1">
      <c r="A562" s="72" t="s">
        <v>65</v>
      </c>
      <c r="B562" s="104"/>
      <c r="C562" s="110"/>
      <c r="D562" s="111"/>
      <c r="E562" s="111"/>
      <c r="F562" s="3"/>
      <c r="G562" s="3"/>
      <c r="H562" s="3"/>
      <c r="I562" s="3"/>
      <c r="J562" s="3"/>
      <c r="K562" s="3"/>
      <c r="L562" s="3"/>
      <c r="M562" s="87" t="s">
        <v>749</v>
      </c>
      <c r="N562" s="3">
        <f t="shared" si="135"/>
        <v>0</v>
      </c>
      <c r="O562" s="3">
        <f t="shared" si="135"/>
        <v>0</v>
      </c>
      <c r="P562" s="3"/>
      <c r="Q562" s="3"/>
      <c r="R562" s="3"/>
      <c r="S562" s="3"/>
      <c r="T562" s="3"/>
      <c r="U562" s="3"/>
      <c r="V562" s="3"/>
      <c r="W562" s="3"/>
      <c r="X562" s="3">
        <f t="shared" si="136"/>
        <v>0</v>
      </c>
      <c r="Y562" s="3"/>
      <c r="Z562" s="3"/>
      <c r="AA562" s="3"/>
      <c r="AB562" s="3"/>
      <c r="AC562" s="3">
        <f t="shared" si="137"/>
        <v>0</v>
      </c>
      <c r="AD562" s="3"/>
      <c r="AE562" s="3"/>
      <c r="AF562" s="3"/>
      <c r="AG562" s="3"/>
      <c r="AH562" s="3">
        <f t="shared" si="118"/>
        <v>0</v>
      </c>
      <c r="AI562" s="3"/>
      <c r="AJ562" s="3"/>
      <c r="AK562" s="3"/>
      <c r="AL562" s="3"/>
      <c r="AM562" s="3">
        <f t="shared" si="119"/>
        <v>0</v>
      </c>
      <c r="AN562" s="3"/>
      <c r="AO562" s="3"/>
      <c r="AP562" s="3"/>
      <c r="AQ562" s="3"/>
    </row>
    <row r="563" spans="1:43" ht="35.450000000000003" customHeight="1" thickBot="1">
      <c r="A563" s="72" t="s">
        <v>65</v>
      </c>
      <c r="B563" s="104"/>
      <c r="C563" s="110"/>
      <c r="D563" s="111"/>
      <c r="E563" s="111"/>
      <c r="F563" s="3"/>
      <c r="G563" s="3"/>
      <c r="H563" s="3"/>
      <c r="I563" s="268"/>
      <c r="J563" s="269"/>
      <c r="K563" s="269"/>
      <c r="L563" s="3"/>
      <c r="M563" s="87" t="s">
        <v>750</v>
      </c>
      <c r="N563" s="3">
        <f t="shared" si="135"/>
        <v>0</v>
      </c>
      <c r="O563" s="3">
        <f t="shared" si="135"/>
        <v>0</v>
      </c>
      <c r="P563" s="3"/>
      <c r="Q563" s="3"/>
      <c r="R563" s="3"/>
      <c r="S563" s="3"/>
      <c r="T563" s="3"/>
      <c r="U563" s="3"/>
      <c r="V563" s="3"/>
      <c r="W563" s="3"/>
      <c r="X563" s="3">
        <f t="shared" si="136"/>
        <v>0</v>
      </c>
      <c r="Y563" s="3"/>
      <c r="Z563" s="3"/>
      <c r="AA563" s="3"/>
      <c r="AB563" s="3"/>
      <c r="AC563" s="3">
        <f t="shared" si="137"/>
        <v>0</v>
      </c>
      <c r="AD563" s="3"/>
      <c r="AE563" s="3"/>
      <c r="AF563" s="3"/>
      <c r="AG563" s="3"/>
      <c r="AH563" s="3">
        <f t="shared" si="118"/>
        <v>0</v>
      </c>
      <c r="AI563" s="3"/>
      <c r="AJ563" s="3"/>
      <c r="AK563" s="3"/>
      <c r="AL563" s="3"/>
      <c r="AM563" s="3">
        <f t="shared" si="119"/>
        <v>0</v>
      </c>
      <c r="AN563" s="3"/>
      <c r="AO563" s="3"/>
      <c r="AP563" s="3"/>
      <c r="AQ563" s="3"/>
    </row>
    <row r="564" spans="1:43" ht="35.450000000000003" customHeight="1" thickBot="1">
      <c r="A564" s="72" t="s">
        <v>65</v>
      </c>
      <c r="B564" s="104"/>
      <c r="C564" s="110"/>
      <c r="D564" s="111"/>
      <c r="E564" s="111"/>
      <c r="F564" s="3"/>
      <c r="G564" s="3"/>
      <c r="H564" s="3"/>
      <c r="I564" s="216"/>
      <c r="J564" s="270"/>
      <c r="K564" s="270"/>
      <c r="L564" s="3"/>
      <c r="M564" s="87" t="s">
        <v>751</v>
      </c>
      <c r="N564" s="3">
        <f t="shared" si="135"/>
        <v>0</v>
      </c>
      <c r="O564" s="3">
        <f t="shared" si="135"/>
        <v>0</v>
      </c>
      <c r="P564" s="3"/>
      <c r="Q564" s="3"/>
      <c r="R564" s="3"/>
      <c r="S564" s="3"/>
      <c r="T564" s="3"/>
      <c r="U564" s="3"/>
      <c r="V564" s="3"/>
      <c r="W564" s="3"/>
      <c r="X564" s="3">
        <f t="shared" si="136"/>
        <v>0</v>
      </c>
      <c r="Y564" s="3"/>
      <c r="Z564" s="3"/>
      <c r="AA564" s="3"/>
      <c r="AB564" s="3"/>
      <c r="AC564" s="3">
        <f t="shared" si="137"/>
        <v>0</v>
      </c>
      <c r="AD564" s="3"/>
      <c r="AE564" s="3"/>
      <c r="AF564" s="3"/>
      <c r="AG564" s="3"/>
      <c r="AH564" s="3">
        <f t="shared" si="118"/>
        <v>0</v>
      </c>
      <c r="AI564" s="3"/>
      <c r="AJ564" s="3"/>
      <c r="AK564" s="3"/>
      <c r="AL564" s="3"/>
      <c r="AM564" s="3">
        <f t="shared" si="119"/>
        <v>0</v>
      </c>
      <c r="AN564" s="3"/>
      <c r="AO564" s="3"/>
      <c r="AP564" s="3"/>
      <c r="AQ564" s="3"/>
    </row>
    <row r="565" spans="1:43" ht="35.450000000000003" customHeight="1" thickBot="1">
      <c r="A565" s="72" t="s">
        <v>65</v>
      </c>
      <c r="B565" s="104"/>
      <c r="C565" s="116"/>
      <c r="D565" s="117"/>
      <c r="E565" s="117"/>
      <c r="F565" s="3"/>
      <c r="G565" s="3"/>
      <c r="H565" s="3"/>
      <c r="I565" s="203"/>
      <c r="J565" s="270"/>
      <c r="K565" s="270"/>
      <c r="L565" s="3"/>
      <c r="M565" s="87" t="s">
        <v>752</v>
      </c>
      <c r="N565" s="3">
        <f t="shared" si="135"/>
        <v>0</v>
      </c>
      <c r="O565" s="3">
        <f t="shared" si="135"/>
        <v>0</v>
      </c>
      <c r="P565" s="3"/>
      <c r="Q565" s="3"/>
      <c r="R565" s="3"/>
      <c r="S565" s="3"/>
      <c r="T565" s="3"/>
      <c r="U565" s="3"/>
      <c r="V565" s="3">
        <v>0</v>
      </c>
      <c r="W565" s="3"/>
      <c r="X565" s="3">
        <f t="shared" si="136"/>
        <v>0</v>
      </c>
      <c r="Y565" s="3"/>
      <c r="Z565" s="3"/>
      <c r="AA565" s="3"/>
      <c r="AB565" s="3">
        <v>0</v>
      </c>
      <c r="AC565" s="3">
        <f t="shared" si="137"/>
        <v>0</v>
      </c>
      <c r="AD565" s="3"/>
      <c r="AE565" s="3"/>
      <c r="AF565" s="3"/>
      <c r="AG565" s="3">
        <v>0</v>
      </c>
      <c r="AH565" s="3">
        <f t="shared" si="118"/>
        <v>0</v>
      </c>
      <c r="AI565" s="3"/>
      <c r="AJ565" s="3"/>
      <c r="AK565" s="3"/>
      <c r="AL565" s="3">
        <v>0</v>
      </c>
      <c r="AM565" s="3">
        <f t="shared" si="119"/>
        <v>0</v>
      </c>
      <c r="AN565" s="3"/>
      <c r="AO565" s="3"/>
      <c r="AP565" s="3"/>
      <c r="AQ565" s="3">
        <v>0</v>
      </c>
    </row>
    <row r="566" spans="1:43" ht="35.450000000000003" customHeight="1" thickBot="1">
      <c r="A566" s="72" t="s">
        <v>753</v>
      </c>
      <c r="B566" s="104"/>
      <c r="C566" s="71"/>
      <c r="D566" s="3"/>
      <c r="E566" s="3"/>
      <c r="F566" s="3"/>
      <c r="G566" s="3"/>
      <c r="H566" s="4"/>
      <c r="I566" s="119"/>
      <c r="J566" s="270"/>
      <c r="K566" s="270"/>
      <c r="L566" s="3"/>
      <c r="M566" s="87" t="s">
        <v>754</v>
      </c>
      <c r="N566" s="3">
        <f t="shared" si="135"/>
        <v>0</v>
      </c>
      <c r="O566" s="3">
        <f t="shared" si="135"/>
        <v>0</v>
      </c>
      <c r="P566" s="3"/>
      <c r="Q566" s="3"/>
      <c r="R566" s="3"/>
      <c r="S566" s="3"/>
      <c r="T566" s="3"/>
      <c r="U566" s="3"/>
      <c r="V566" s="3">
        <v>0</v>
      </c>
      <c r="W566" s="3"/>
      <c r="X566" s="3">
        <f t="shared" si="136"/>
        <v>0</v>
      </c>
      <c r="Y566" s="3"/>
      <c r="Z566" s="3"/>
      <c r="AA566" s="3"/>
      <c r="AB566" s="3">
        <v>0</v>
      </c>
      <c r="AC566" s="3">
        <f t="shared" si="137"/>
        <v>0</v>
      </c>
      <c r="AD566" s="3"/>
      <c r="AE566" s="3"/>
      <c r="AF566" s="3"/>
      <c r="AG566" s="3">
        <v>0</v>
      </c>
      <c r="AH566" s="3">
        <f t="shared" si="118"/>
        <v>0</v>
      </c>
      <c r="AI566" s="3"/>
      <c r="AJ566" s="3"/>
      <c r="AK566" s="3"/>
      <c r="AL566" s="3">
        <v>0</v>
      </c>
      <c r="AM566" s="3">
        <f t="shared" si="119"/>
        <v>0</v>
      </c>
      <c r="AN566" s="3"/>
      <c r="AO566" s="3"/>
      <c r="AP566" s="3"/>
      <c r="AQ566" s="3">
        <v>0</v>
      </c>
    </row>
    <row r="567" spans="1:43" ht="35.450000000000003" customHeight="1" thickBot="1">
      <c r="A567" s="72" t="s">
        <v>753</v>
      </c>
      <c r="B567" s="104"/>
      <c r="C567" s="71"/>
      <c r="D567" s="3"/>
      <c r="E567" s="3"/>
      <c r="F567" s="87"/>
      <c r="G567" s="3"/>
      <c r="H567" s="4"/>
      <c r="I567" s="119"/>
      <c r="J567" s="270"/>
      <c r="K567" s="270"/>
      <c r="L567" s="3"/>
      <c r="M567" s="87" t="s">
        <v>755</v>
      </c>
      <c r="N567" s="3">
        <f t="shared" si="135"/>
        <v>0</v>
      </c>
      <c r="O567" s="3">
        <f t="shared" si="135"/>
        <v>0</v>
      </c>
      <c r="P567" s="3"/>
      <c r="Q567" s="3"/>
      <c r="R567" s="3"/>
      <c r="S567" s="3"/>
      <c r="T567" s="3"/>
      <c r="U567" s="3"/>
      <c r="V567" s="3"/>
      <c r="W567" s="3"/>
      <c r="X567" s="3">
        <f>Y567+Z567+AA567+AB567</f>
        <v>0</v>
      </c>
      <c r="Y567" s="3"/>
      <c r="Z567" s="3"/>
      <c r="AA567" s="3"/>
      <c r="AB567" s="3"/>
      <c r="AC567" s="3">
        <f>AD567+AE567+AF567+AG567</f>
        <v>0</v>
      </c>
      <c r="AD567" s="3"/>
      <c r="AE567" s="3"/>
      <c r="AF567" s="3"/>
      <c r="AG567" s="3"/>
      <c r="AH567" s="3">
        <f t="shared" si="118"/>
        <v>0</v>
      </c>
      <c r="AI567" s="3"/>
      <c r="AJ567" s="3"/>
      <c r="AK567" s="3"/>
      <c r="AL567" s="3"/>
      <c r="AM567" s="3">
        <f t="shared" si="119"/>
        <v>0</v>
      </c>
      <c r="AN567" s="3"/>
      <c r="AO567" s="3"/>
      <c r="AP567" s="3"/>
      <c r="AQ567" s="3"/>
    </row>
    <row r="568" spans="1:43" ht="35.450000000000003" customHeight="1" thickBot="1">
      <c r="A568" s="72" t="s">
        <v>753</v>
      </c>
      <c r="B568" s="104"/>
      <c r="C568" s="71"/>
      <c r="D568" s="3"/>
      <c r="E568" s="3"/>
      <c r="F568" s="87"/>
      <c r="G568" s="3"/>
      <c r="H568" s="4"/>
      <c r="I568" s="119"/>
      <c r="J568" s="270"/>
      <c r="K568" s="270"/>
      <c r="L568" s="3"/>
      <c r="M568" s="87" t="s">
        <v>756</v>
      </c>
      <c r="N568" s="3"/>
      <c r="O568" s="3">
        <f t="shared" si="135"/>
        <v>0</v>
      </c>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row>
    <row r="569" spans="1:43" ht="35.450000000000003" customHeight="1" thickBot="1">
      <c r="A569" s="72" t="s">
        <v>753</v>
      </c>
      <c r="B569" s="104"/>
      <c r="C569" s="71"/>
      <c r="D569" s="3"/>
      <c r="E569" s="3"/>
      <c r="F569" s="3"/>
      <c r="G569" s="3"/>
      <c r="H569" s="4"/>
      <c r="I569" s="119"/>
      <c r="J569" s="270"/>
      <c r="K569" s="270"/>
      <c r="L569" s="3"/>
      <c r="M569" s="87" t="s">
        <v>757</v>
      </c>
      <c r="N569" s="3">
        <f>P569+R569+T569+V569</f>
        <v>0</v>
      </c>
      <c r="O569" s="3">
        <f t="shared" si="135"/>
        <v>0</v>
      </c>
      <c r="P569" s="3">
        <v>0</v>
      </c>
      <c r="Q569" s="3"/>
      <c r="R569" s="3"/>
      <c r="S569" s="3"/>
      <c r="T569" s="3"/>
      <c r="U569" s="3"/>
      <c r="V569" s="3"/>
      <c r="W569" s="3"/>
      <c r="X569" s="3">
        <f>Y569+Z569+AA569+AB569</f>
        <v>0</v>
      </c>
      <c r="Y569" s="3">
        <v>0</v>
      </c>
      <c r="Z569" s="3"/>
      <c r="AA569" s="3"/>
      <c r="AB569" s="3"/>
      <c r="AC569" s="3">
        <f>AD569+AE569+AF569+AG569</f>
        <v>0</v>
      </c>
      <c r="AD569" s="3">
        <v>0</v>
      </c>
      <c r="AE569" s="3"/>
      <c r="AF569" s="3"/>
      <c r="AG569" s="3"/>
      <c r="AH569" s="3">
        <f t="shared" si="118"/>
        <v>0</v>
      </c>
      <c r="AI569" s="3">
        <v>0</v>
      </c>
      <c r="AJ569" s="3"/>
      <c r="AK569" s="3"/>
      <c r="AL569" s="3"/>
      <c r="AM569" s="3">
        <f t="shared" si="119"/>
        <v>0</v>
      </c>
      <c r="AN569" s="3">
        <v>0</v>
      </c>
      <c r="AO569" s="3"/>
      <c r="AP569" s="3"/>
      <c r="AQ569" s="3"/>
    </row>
    <row r="570" spans="1:43" ht="35.450000000000003" customHeight="1" thickBot="1">
      <c r="A570" s="72" t="s">
        <v>758</v>
      </c>
      <c r="B570" s="104"/>
      <c r="C570" s="71"/>
      <c r="D570" s="3"/>
      <c r="E570" s="3"/>
      <c r="F570" s="3"/>
      <c r="G570" s="3"/>
      <c r="H570" s="4"/>
      <c r="I570" s="119"/>
      <c r="J570" s="270"/>
      <c r="K570" s="270"/>
      <c r="L570" s="3"/>
      <c r="M570" s="87" t="s">
        <v>759</v>
      </c>
      <c r="N570" s="3">
        <f>P570+R570+T570+V570</f>
        <v>0</v>
      </c>
      <c r="O570" s="3">
        <f t="shared" si="135"/>
        <v>0</v>
      </c>
      <c r="P570" s="3"/>
      <c r="Q570" s="3"/>
      <c r="R570" s="3"/>
      <c r="S570" s="3"/>
      <c r="T570" s="3"/>
      <c r="U570" s="3"/>
      <c r="V570" s="3"/>
      <c r="W570" s="3"/>
      <c r="X570" s="3">
        <f>Y570+Z570+AA570+AB570</f>
        <v>0</v>
      </c>
      <c r="Y570" s="3"/>
      <c r="Z570" s="3"/>
      <c r="AA570" s="3"/>
      <c r="AB570" s="3"/>
      <c r="AC570" s="3">
        <f>AD570+AE570+AF570+AG570</f>
        <v>0</v>
      </c>
      <c r="AD570" s="3"/>
      <c r="AE570" s="3"/>
      <c r="AF570" s="3"/>
      <c r="AG570" s="3"/>
      <c r="AH570" s="3"/>
      <c r="AI570" s="3"/>
      <c r="AJ570" s="3"/>
      <c r="AK570" s="3"/>
      <c r="AL570" s="3"/>
      <c r="AM570" s="3"/>
      <c r="AN570" s="3"/>
      <c r="AO570" s="3"/>
      <c r="AP570" s="3"/>
      <c r="AQ570" s="3"/>
    </row>
    <row r="571" spans="1:43" ht="35.450000000000003" customHeight="1" thickBot="1">
      <c r="A571" s="72" t="s">
        <v>243</v>
      </c>
      <c r="B571" s="104"/>
      <c r="C571" s="71"/>
      <c r="D571" s="3"/>
      <c r="E571" s="3"/>
      <c r="F571" s="131" t="s">
        <v>1308</v>
      </c>
      <c r="G571" s="131" t="s">
        <v>153</v>
      </c>
      <c r="H571" s="131" t="s">
        <v>1309</v>
      </c>
      <c r="I571" s="271" t="s">
        <v>1310</v>
      </c>
      <c r="J571" s="272" t="s">
        <v>153</v>
      </c>
      <c r="K571" s="272" t="s">
        <v>1307</v>
      </c>
      <c r="L571" s="131"/>
      <c r="M571" s="87" t="s">
        <v>760</v>
      </c>
      <c r="N571" s="3"/>
      <c r="O571" s="3">
        <f>Q571+S571+U571+W571</f>
        <v>0</v>
      </c>
      <c r="P571" s="3"/>
      <c r="Q571" s="3"/>
      <c r="R571" s="3"/>
      <c r="S571" s="3"/>
      <c r="T571" s="3"/>
      <c r="U571" s="3"/>
      <c r="V571" s="3">
        <v>0</v>
      </c>
      <c r="W571" s="3"/>
      <c r="X571" s="3">
        <f>Y571+Z571+AA571+AB571</f>
        <v>50505</v>
      </c>
      <c r="Y571" s="3"/>
      <c r="Z571" s="3">
        <v>50000</v>
      </c>
      <c r="AA571" s="3"/>
      <c r="AB571" s="3">
        <v>505</v>
      </c>
      <c r="AC571" s="3"/>
      <c r="AD571" s="3"/>
      <c r="AE571" s="3"/>
      <c r="AF571" s="3"/>
      <c r="AG571" s="3">
        <v>0</v>
      </c>
      <c r="AH571" s="3"/>
      <c r="AI571" s="3"/>
      <c r="AJ571" s="3"/>
      <c r="AK571" s="3"/>
      <c r="AL571" s="3">
        <v>0</v>
      </c>
      <c r="AM571" s="3"/>
      <c r="AN571" s="3"/>
      <c r="AO571" s="3"/>
      <c r="AP571" s="3"/>
      <c r="AQ571" s="3">
        <v>0</v>
      </c>
    </row>
    <row r="572" spans="1:43" ht="35.450000000000003" customHeight="1" thickBot="1">
      <c r="A572" s="72" t="s">
        <v>564</v>
      </c>
      <c r="B572" s="104"/>
      <c r="C572" s="71"/>
      <c r="D572" s="3"/>
      <c r="E572" s="3"/>
      <c r="F572" s="131"/>
      <c r="G572" s="3"/>
      <c r="H572" s="3"/>
      <c r="I572" s="131"/>
      <c r="J572" s="75"/>
      <c r="K572" s="141"/>
      <c r="L572" s="3"/>
      <c r="M572" s="87" t="s">
        <v>761</v>
      </c>
      <c r="N572" s="3"/>
      <c r="O572" s="3">
        <f>Q572+S572+U572+W572</f>
        <v>0</v>
      </c>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row>
    <row r="573" spans="1:43" ht="35.450000000000003" customHeight="1" thickBot="1">
      <c r="A573" s="72" t="s">
        <v>564</v>
      </c>
      <c r="B573" s="104"/>
      <c r="C573" s="71"/>
      <c r="D573" s="3"/>
      <c r="E573" s="3"/>
      <c r="F573" s="131"/>
      <c r="G573" s="3"/>
      <c r="H573" s="3"/>
      <c r="I573" s="131"/>
      <c r="J573" s="75"/>
      <c r="K573" s="141"/>
      <c r="L573" s="3"/>
      <c r="M573" s="87" t="s">
        <v>762</v>
      </c>
      <c r="N573" s="3"/>
      <c r="O573" s="3">
        <f>Q573+S573+U573+W573</f>
        <v>0</v>
      </c>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row>
    <row r="574" spans="1:43" ht="35.450000000000003" customHeight="1" thickBot="1">
      <c r="A574" s="72" t="s">
        <v>763</v>
      </c>
      <c r="B574" s="104">
        <v>2542</v>
      </c>
      <c r="C574" s="71"/>
      <c r="D574" s="3"/>
      <c r="E574" s="3"/>
      <c r="F574" s="3"/>
      <c r="G574" s="3"/>
      <c r="H574" s="3"/>
      <c r="I574" s="3"/>
      <c r="J574" s="3"/>
      <c r="K574" s="3"/>
      <c r="L574" s="3">
        <v>21</v>
      </c>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row>
    <row r="575" spans="1:43" ht="35.450000000000003" customHeight="1" thickBot="1">
      <c r="A575" s="76" t="s">
        <v>764</v>
      </c>
      <c r="B575" s="77">
        <v>2544</v>
      </c>
      <c r="C575" s="78"/>
      <c r="D575" s="5"/>
      <c r="E575" s="5"/>
      <c r="F575" s="5"/>
      <c r="G575" s="5"/>
      <c r="H575" s="5"/>
      <c r="I575" s="5"/>
      <c r="J575" s="5"/>
      <c r="K575" s="5"/>
      <c r="L575" s="5">
        <v>20</v>
      </c>
      <c r="M575" s="5"/>
      <c r="N575" s="67">
        <f>N576+N580+N579</f>
        <v>0</v>
      </c>
      <c r="O575" s="67"/>
      <c r="P575" s="67">
        <f>P576+P580+P579</f>
        <v>0</v>
      </c>
      <c r="Q575" s="67"/>
      <c r="R575" s="67">
        <f>R576+R580+R579</f>
        <v>0</v>
      </c>
      <c r="S575" s="67"/>
      <c r="T575" s="67">
        <f>T576+T580+T579</f>
        <v>0</v>
      </c>
      <c r="U575" s="67"/>
      <c r="V575" s="67">
        <f>V576+V580+V579</f>
        <v>0</v>
      </c>
      <c r="W575" s="67"/>
      <c r="X575" s="67">
        <f>X576+X580+X579+X577</f>
        <v>900</v>
      </c>
      <c r="Y575" s="67">
        <f t="shared" ref="Y575:AQ575" si="138">Y576+Y580+Y579+Y577</f>
        <v>0</v>
      </c>
      <c r="Z575" s="67">
        <f t="shared" si="138"/>
        <v>0</v>
      </c>
      <c r="AA575" s="67">
        <f t="shared" si="138"/>
        <v>0</v>
      </c>
      <c r="AB575" s="67">
        <f t="shared" si="138"/>
        <v>900</v>
      </c>
      <c r="AC575" s="67">
        <f t="shared" si="138"/>
        <v>2000</v>
      </c>
      <c r="AD575" s="67">
        <f t="shared" si="138"/>
        <v>0</v>
      </c>
      <c r="AE575" s="67">
        <f t="shared" si="138"/>
        <v>0</v>
      </c>
      <c r="AF575" s="67">
        <f t="shared" si="138"/>
        <v>0</v>
      </c>
      <c r="AG575" s="67">
        <f t="shared" si="138"/>
        <v>2000</v>
      </c>
      <c r="AH575" s="67">
        <f t="shared" si="138"/>
        <v>0</v>
      </c>
      <c r="AI575" s="67">
        <f t="shared" si="138"/>
        <v>0</v>
      </c>
      <c r="AJ575" s="67">
        <f t="shared" si="138"/>
        <v>0</v>
      </c>
      <c r="AK575" s="67">
        <f t="shared" si="138"/>
        <v>0</v>
      </c>
      <c r="AL575" s="67">
        <f t="shared" si="138"/>
        <v>0</v>
      </c>
      <c r="AM575" s="67">
        <f t="shared" si="138"/>
        <v>0</v>
      </c>
      <c r="AN575" s="67">
        <f t="shared" si="138"/>
        <v>0</v>
      </c>
      <c r="AO575" s="67">
        <f t="shared" si="138"/>
        <v>0</v>
      </c>
      <c r="AP575" s="67">
        <f t="shared" si="138"/>
        <v>0</v>
      </c>
      <c r="AQ575" s="67">
        <f t="shared" si="138"/>
        <v>0</v>
      </c>
    </row>
    <row r="576" spans="1:43" ht="35.450000000000003" customHeight="1" thickBot="1">
      <c r="A576" s="72" t="s">
        <v>256</v>
      </c>
      <c r="B576" s="104"/>
      <c r="C576" s="84" t="s">
        <v>191</v>
      </c>
      <c r="D576" s="84" t="s">
        <v>765</v>
      </c>
      <c r="E576" s="84" t="s">
        <v>271</v>
      </c>
      <c r="F576" s="84" t="s">
        <v>766</v>
      </c>
      <c r="G576" s="84" t="s">
        <v>456</v>
      </c>
      <c r="H576" s="84" t="s">
        <v>767</v>
      </c>
      <c r="I576" s="85" t="s">
        <v>21</v>
      </c>
      <c r="J576" s="85" t="s">
        <v>768</v>
      </c>
      <c r="K576" s="86" t="s">
        <v>23</v>
      </c>
      <c r="L576" s="3"/>
      <c r="M576" s="87" t="s">
        <v>769</v>
      </c>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row>
    <row r="577" spans="1:43" ht="35.450000000000003" customHeight="1" thickBot="1">
      <c r="A577" s="72" t="s">
        <v>256</v>
      </c>
      <c r="B577" s="104"/>
      <c r="C577" s="273"/>
      <c r="D577" s="3"/>
      <c r="E577" s="3"/>
      <c r="F577" s="3"/>
      <c r="G577" s="3"/>
      <c r="H577" s="3"/>
      <c r="I577" s="125"/>
      <c r="J577" s="87"/>
      <c r="K577" s="87"/>
      <c r="L577" s="3"/>
      <c r="M577" s="87" t="s">
        <v>770</v>
      </c>
      <c r="N577" s="3"/>
      <c r="O577" s="3"/>
      <c r="P577" s="3"/>
      <c r="Q577" s="3"/>
      <c r="R577" s="3"/>
      <c r="S577" s="3"/>
      <c r="T577" s="3"/>
      <c r="U577" s="3"/>
      <c r="V577" s="3"/>
      <c r="W577" s="3"/>
      <c r="X577" s="3">
        <f>Y577+Z577+AB577</f>
        <v>900</v>
      </c>
      <c r="Y577" s="3"/>
      <c r="Z577" s="3"/>
      <c r="AA577" s="3"/>
      <c r="AB577" s="3">
        <f>4000-2000-1100</f>
        <v>900</v>
      </c>
      <c r="AC577" s="3">
        <f>AG577</f>
        <v>2000</v>
      </c>
      <c r="AD577" s="3"/>
      <c r="AE577" s="3"/>
      <c r="AF577" s="3"/>
      <c r="AG577" s="3">
        <v>2000</v>
      </c>
      <c r="AH577" s="3"/>
      <c r="AI577" s="3"/>
      <c r="AJ577" s="3"/>
      <c r="AK577" s="3"/>
      <c r="AL577" s="3"/>
      <c r="AM577" s="3"/>
      <c r="AN577" s="3"/>
      <c r="AO577" s="3"/>
      <c r="AP577" s="3"/>
      <c r="AQ577" s="3"/>
    </row>
    <row r="578" spans="1:43" ht="35.450000000000003" customHeight="1" thickBot="1">
      <c r="A578" s="72" t="s">
        <v>256</v>
      </c>
      <c r="B578" s="104"/>
      <c r="C578" s="273"/>
      <c r="D578" s="3"/>
      <c r="E578" s="3"/>
      <c r="F578" s="3"/>
      <c r="G578" s="3"/>
      <c r="H578" s="3"/>
      <c r="I578" s="125"/>
      <c r="J578" s="87"/>
      <c r="K578" s="87"/>
      <c r="L578" s="3"/>
      <c r="M578" s="87">
        <v>104</v>
      </c>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row>
    <row r="579" spans="1:43" ht="35.450000000000003" customHeight="1" thickBot="1">
      <c r="A579" s="72" t="s">
        <v>256</v>
      </c>
      <c r="B579" s="104"/>
      <c r="C579" s="273"/>
      <c r="D579" s="3"/>
      <c r="E579" s="3"/>
      <c r="F579" s="3"/>
      <c r="G579" s="3"/>
      <c r="H579" s="3"/>
      <c r="I579" s="132"/>
      <c r="J579" s="131"/>
      <c r="K579" s="131"/>
      <c r="L579" s="3"/>
      <c r="M579" s="87" t="s">
        <v>771</v>
      </c>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row>
    <row r="580" spans="1:43" ht="35.450000000000003" customHeight="1" thickBot="1">
      <c r="A580" s="72" t="s">
        <v>243</v>
      </c>
      <c r="B580" s="104"/>
      <c r="C580" s="71"/>
      <c r="D580" s="3"/>
      <c r="E580" s="3"/>
      <c r="F580" s="3"/>
      <c r="G580" s="3"/>
      <c r="H580" s="3"/>
      <c r="I580" s="3"/>
      <c r="J580" s="3"/>
      <c r="K580" s="3"/>
      <c r="L580" s="3"/>
      <c r="M580" s="87" t="s">
        <v>772</v>
      </c>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row>
    <row r="581" spans="1:43" ht="35.450000000000003" customHeight="1" thickBot="1">
      <c r="A581" s="76" t="s">
        <v>773</v>
      </c>
      <c r="B581" s="77">
        <v>2553</v>
      </c>
      <c r="C581" s="78"/>
      <c r="D581" s="5"/>
      <c r="E581" s="5"/>
      <c r="F581" s="5"/>
      <c r="G581" s="5"/>
      <c r="H581" s="5"/>
      <c r="I581" s="5"/>
      <c r="J581" s="5"/>
      <c r="K581" s="5"/>
      <c r="L581" s="5">
        <v>2</v>
      </c>
      <c r="M581" s="5"/>
      <c r="N581" s="5">
        <f>N582+N583+N589+N585+N587</f>
        <v>1363.6</v>
      </c>
      <c r="O581" s="5">
        <f t="shared" ref="O581:W581" si="139">O582+O583+O589+O585+O587</f>
        <v>1363.6</v>
      </c>
      <c r="P581" s="5">
        <f t="shared" si="139"/>
        <v>0</v>
      </c>
      <c r="Q581" s="5">
        <f t="shared" si="139"/>
        <v>0</v>
      </c>
      <c r="R581" s="5">
        <f t="shared" si="139"/>
        <v>1295.4000000000001</v>
      </c>
      <c r="S581" s="5">
        <f t="shared" si="139"/>
        <v>1295.4000000000001</v>
      </c>
      <c r="T581" s="5">
        <f t="shared" si="139"/>
        <v>0</v>
      </c>
      <c r="U581" s="5">
        <f t="shared" si="139"/>
        <v>0</v>
      </c>
      <c r="V581" s="5">
        <f t="shared" si="139"/>
        <v>68.199999999999989</v>
      </c>
      <c r="W581" s="5">
        <f t="shared" si="139"/>
        <v>68.2</v>
      </c>
      <c r="X581" s="5">
        <f>X582+X583+X589+X586</f>
        <v>700</v>
      </c>
      <c r="Y581" s="5">
        <f>Y582+Y583+Y589+Y586</f>
        <v>0</v>
      </c>
      <c r="Z581" s="5">
        <f>Z582+Z583+Z589+Z586</f>
        <v>665</v>
      </c>
      <c r="AA581" s="5">
        <f>AA582+AA583+AA589+AA586</f>
        <v>0</v>
      </c>
      <c r="AB581" s="5">
        <f>AB582+AB583+AB589+AB586</f>
        <v>35</v>
      </c>
      <c r="AC581" s="5">
        <f>AD581+AE581+AF581+AG581</f>
        <v>200</v>
      </c>
      <c r="AD581" s="5">
        <f t="shared" ref="AD581:AQ581" si="140">AD582+AD583+AD589+AD586</f>
        <v>0</v>
      </c>
      <c r="AE581" s="5">
        <f t="shared" si="140"/>
        <v>0</v>
      </c>
      <c r="AF581" s="5">
        <f t="shared" si="140"/>
        <v>0</v>
      </c>
      <c r="AG581" s="5">
        <f t="shared" si="140"/>
        <v>200</v>
      </c>
      <c r="AH581" s="5">
        <f t="shared" si="140"/>
        <v>200</v>
      </c>
      <c r="AI581" s="5">
        <f t="shared" si="140"/>
        <v>0</v>
      </c>
      <c r="AJ581" s="5">
        <f t="shared" si="140"/>
        <v>0</v>
      </c>
      <c r="AK581" s="5">
        <f t="shared" si="140"/>
        <v>0</v>
      </c>
      <c r="AL581" s="5">
        <f t="shared" si="140"/>
        <v>200</v>
      </c>
      <c r="AM581" s="5">
        <f t="shared" si="140"/>
        <v>200</v>
      </c>
      <c r="AN581" s="5">
        <f t="shared" si="140"/>
        <v>0</v>
      </c>
      <c r="AO581" s="5">
        <f t="shared" si="140"/>
        <v>0</v>
      </c>
      <c r="AP581" s="5">
        <f t="shared" si="140"/>
        <v>0</v>
      </c>
      <c r="AQ581" s="5">
        <f t="shared" si="140"/>
        <v>200</v>
      </c>
    </row>
    <row r="582" spans="1:43" ht="35.450000000000003" customHeight="1" thickBot="1">
      <c r="A582" s="72" t="s">
        <v>774</v>
      </c>
      <c r="B582" s="104"/>
      <c r="C582" s="84" t="s">
        <v>775</v>
      </c>
      <c r="D582" s="84" t="s">
        <v>776</v>
      </c>
      <c r="E582" s="84" t="s">
        <v>49</v>
      </c>
      <c r="F582" s="175" t="s">
        <v>777</v>
      </c>
      <c r="G582" s="3"/>
      <c r="H582" s="3"/>
      <c r="I582" s="85" t="s">
        <v>21</v>
      </c>
      <c r="J582" s="85" t="s">
        <v>778</v>
      </c>
      <c r="K582" s="86" t="s">
        <v>23</v>
      </c>
      <c r="L582" s="3"/>
      <c r="M582" s="87" t="s">
        <v>779</v>
      </c>
      <c r="N582" s="3">
        <f t="shared" ref="N582:N587" si="141">P582+R582+V582</f>
        <v>1010.4</v>
      </c>
      <c r="O582" s="3">
        <f>Q582+S582+U582+W582</f>
        <v>1010.4</v>
      </c>
      <c r="P582" s="3"/>
      <c r="Q582" s="3"/>
      <c r="R582" s="3">
        <v>1010.4</v>
      </c>
      <c r="S582" s="3">
        <v>1010.4</v>
      </c>
      <c r="T582" s="3"/>
      <c r="U582" s="3"/>
      <c r="V582" s="3"/>
      <c r="W582" s="3"/>
      <c r="X582" s="3">
        <f>Y582+Z582+AB582</f>
        <v>0</v>
      </c>
      <c r="Y582" s="3"/>
      <c r="Z582" s="3">
        <v>0</v>
      </c>
      <c r="AA582" s="3"/>
      <c r="AB582" s="3">
        <f>200-200</f>
        <v>0</v>
      </c>
      <c r="AC582" s="3">
        <f>AD582+AE582+AG582</f>
        <v>0</v>
      </c>
      <c r="AD582" s="3"/>
      <c r="AE582" s="3">
        <v>0</v>
      </c>
      <c r="AF582" s="3"/>
      <c r="AG582" s="3">
        <f>200-200</f>
        <v>0</v>
      </c>
      <c r="AH582" s="3">
        <f>AI582+AJ582+AK582+AL582</f>
        <v>0</v>
      </c>
      <c r="AI582" s="3"/>
      <c r="AJ582" s="3">
        <v>0</v>
      </c>
      <c r="AK582" s="3"/>
      <c r="AL582" s="3">
        <f>200-200</f>
        <v>0</v>
      </c>
      <c r="AM582" s="3">
        <f>AN582+AO582+AP582+AQ582</f>
        <v>0</v>
      </c>
      <c r="AN582" s="3"/>
      <c r="AO582" s="3">
        <v>0</v>
      </c>
      <c r="AP582" s="3"/>
      <c r="AQ582" s="3">
        <f>200-200</f>
        <v>0</v>
      </c>
    </row>
    <row r="583" spans="1:43" ht="35.450000000000003" customHeight="1" thickBot="1">
      <c r="A583" s="72" t="s">
        <v>774</v>
      </c>
      <c r="B583" s="104"/>
      <c r="C583" s="274" t="s">
        <v>191</v>
      </c>
      <c r="D583" s="84" t="s">
        <v>780</v>
      </c>
      <c r="E583" s="84" t="s">
        <v>193</v>
      </c>
      <c r="F583" s="275"/>
      <c r="G583" s="3"/>
      <c r="H583" s="3"/>
      <c r="I583" s="82" t="s">
        <v>781</v>
      </c>
      <c r="J583" s="276" t="s">
        <v>153</v>
      </c>
      <c r="K583" s="277">
        <v>45658</v>
      </c>
      <c r="L583" s="3"/>
      <c r="M583" s="87" t="s">
        <v>782</v>
      </c>
      <c r="N583" s="3">
        <f t="shared" si="141"/>
        <v>0</v>
      </c>
      <c r="O583" s="3">
        <f t="shared" ref="O583:O589" si="142">Q583+S583+U583+W583</f>
        <v>0</v>
      </c>
      <c r="P583" s="3"/>
      <c r="Q583" s="3"/>
      <c r="R583" s="3"/>
      <c r="S583" s="3"/>
      <c r="T583" s="3"/>
      <c r="U583" s="3"/>
      <c r="V583" s="3"/>
      <c r="W583" s="3"/>
      <c r="X583" s="3">
        <f>Y583+Z583+AB583</f>
        <v>0</v>
      </c>
      <c r="Y583" s="3"/>
      <c r="Z583" s="3"/>
      <c r="AA583" s="3"/>
      <c r="AB583" s="3"/>
      <c r="AC583" s="3">
        <f>AD583+AE583+AG583</f>
        <v>0</v>
      </c>
      <c r="AD583" s="3"/>
      <c r="AE583" s="3"/>
      <c r="AF583" s="3"/>
      <c r="AG583" s="3"/>
      <c r="AH583" s="3">
        <f>AI583+AJ583+AK583+AL583</f>
        <v>0</v>
      </c>
      <c r="AI583" s="3"/>
      <c r="AJ583" s="3"/>
      <c r="AK583" s="3"/>
      <c r="AL583" s="3"/>
      <c r="AM583" s="3">
        <f>AN583+AO583+AP583+AQ583</f>
        <v>0</v>
      </c>
      <c r="AN583" s="3"/>
      <c r="AO583" s="3"/>
      <c r="AP583" s="3"/>
      <c r="AQ583" s="3"/>
    </row>
    <row r="584" spans="1:43" ht="35.450000000000003" customHeight="1" thickBot="1">
      <c r="A584" s="72" t="s">
        <v>774</v>
      </c>
      <c r="B584" s="104"/>
      <c r="C584" s="278" t="s">
        <v>783</v>
      </c>
      <c r="D584" s="279">
        <v>1782</v>
      </c>
      <c r="E584" s="280">
        <v>45224</v>
      </c>
      <c r="F584" s="275"/>
      <c r="G584" s="3"/>
      <c r="H584" s="3"/>
      <c r="I584" s="93"/>
      <c r="J584" s="281"/>
      <c r="K584" s="282"/>
      <c r="L584" s="3"/>
      <c r="M584" s="87" t="s">
        <v>784</v>
      </c>
      <c r="N584" s="3">
        <f t="shared" si="141"/>
        <v>0</v>
      </c>
      <c r="O584" s="3">
        <f t="shared" si="142"/>
        <v>0</v>
      </c>
      <c r="P584" s="3"/>
      <c r="Q584" s="3"/>
      <c r="R584" s="3"/>
      <c r="S584" s="3"/>
      <c r="T584" s="3"/>
      <c r="U584" s="3"/>
      <c r="V584" s="3"/>
      <c r="W584" s="3"/>
      <c r="X584" s="3">
        <f>Y584+Z584+AB584</f>
        <v>0</v>
      </c>
      <c r="Y584" s="3"/>
      <c r="Z584" s="3"/>
      <c r="AA584" s="3"/>
      <c r="AB584" s="3"/>
      <c r="AC584" s="3">
        <f>AD584+AE584+AG584</f>
        <v>0</v>
      </c>
      <c r="AD584" s="3"/>
      <c r="AE584" s="3"/>
      <c r="AF584" s="3"/>
      <c r="AG584" s="3"/>
      <c r="AH584" s="3">
        <f>AI584+AJ584+AK584+AL584</f>
        <v>0</v>
      </c>
      <c r="AI584" s="3"/>
      <c r="AJ584" s="3"/>
      <c r="AK584" s="3"/>
      <c r="AL584" s="3"/>
      <c r="AM584" s="3">
        <f>AN584+AO584+AP584+AQ584</f>
        <v>0</v>
      </c>
      <c r="AN584" s="3"/>
      <c r="AO584" s="3"/>
      <c r="AP584" s="3"/>
      <c r="AQ584" s="3"/>
    </row>
    <row r="585" spans="1:43" ht="35.450000000000003" customHeight="1" thickBot="1">
      <c r="A585" s="72" t="s">
        <v>774</v>
      </c>
      <c r="B585" s="104"/>
      <c r="C585" s="283"/>
      <c r="D585" s="284"/>
      <c r="E585" s="284"/>
      <c r="F585" s="275"/>
      <c r="G585" s="3"/>
      <c r="H585" s="3"/>
      <c r="I585" s="82" t="s">
        <v>785</v>
      </c>
      <c r="J585" s="276" t="s">
        <v>153</v>
      </c>
      <c r="K585" s="277">
        <v>45658</v>
      </c>
      <c r="L585" s="3"/>
      <c r="M585" s="87" t="s">
        <v>786</v>
      </c>
      <c r="N585" s="3">
        <f t="shared" si="141"/>
        <v>285</v>
      </c>
      <c r="O585" s="3">
        <f t="shared" si="142"/>
        <v>285</v>
      </c>
      <c r="P585" s="3"/>
      <c r="Q585" s="3"/>
      <c r="R585" s="3">
        <v>285</v>
      </c>
      <c r="S585" s="3">
        <v>285</v>
      </c>
      <c r="T585" s="3"/>
      <c r="U585" s="3"/>
      <c r="V585" s="3"/>
      <c r="W585" s="3"/>
      <c r="X585" s="3">
        <f>Y585+Z585+AB585</f>
        <v>0</v>
      </c>
      <c r="Y585" s="3"/>
      <c r="Z585" s="3"/>
      <c r="AA585" s="3"/>
      <c r="AB585" s="3"/>
      <c r="AC585" s="3">
        <f>AD585+AE585+AG585</f>
        <v>0</v>
      </c>
      <c r="AD585" s="3"/>
      <c r="AE585" s="3"/>
      <c r="AF585" s="3"/>
      <c r="AG585" s="3"/>
      <c r="AH585" s="3">
        <f>AI585+AJ585+AK585+AL585</f>
        <v>0</v>
      </c>
      <c r="AI585" s="3"/>
      <c r="AJ585" s="3"/>
      <c r="AK585" s="3"/>
      <c r="AL585" s="3"/>
      <c r="AM585" s="3">
        <f>AN585+AO585+AP585+AQ585</f>
        <v>0</v>
      </c>
      <c r="AN585" s="3"/>
      <c r="AO585" s="3"/>
      <c r="AP585" s="3"/>
      <c r="AQ585" s="3"/>
    </row>
    <row r="586" spans="1:43" ht="35.450000000000003" customHeight="1" thickBot="1">
      <c r="A586" s="72" t="s">
        <v>774</v>
      </c>
      <c r="B586" s="104"/>
      <c r="C586" s="283"/>
      <c r="D586" s="284"/>
      <c r="E586" s="284"/>
      <c r="F586" s="275"/>
      <c r="G586" s="3"/>
      <c r="H586" s="3"/>
      <c r="I586" s="93"/>
      <c r="J586" s="281"/>
      <c r="K586" s="282"/>
      <c r="L586" s="3"/>
      <c r="M586" s="87" t="s">
        <v>787</v>
      </c>
      <c r="N586" s="3">
        <f t="shared" si="141"/>
        <v>0</v>
      </c>
      <c r="O586" s="3">
        <f t="shared" si="142"/>
        <v>0</v>
      </c>
      <c r="P586" s="3"/>
      <c r="Q586" s="3"/>
      <c r="R586" s="3"/>
      <c r="S586" s="3"/>
      <c r="T586" s="3"/>
      <c r="U586" s="3"/>
      <c r="V586" s="3"/>
      <c r="W586" s="3"/>
      <c r="X586" s="3">
        <f>Y586+Z586+AB586</f>
        <v>700</v>
      </c>
      <c r="Y586" s="3"/>
      <c r="Z586" s="3">
        <v>665</v>
      </c>
      <c r="AA586" s="3"/>
      <c r="AB586" s="3">
        <f>200-165</f>
        <v>35</v>
      </c>
      <c r="AC586" s="3">
        <f>AD586+AE586+AG586</f>
        <v>200</v>
      </c>
      <c r="AD586" s="3"/>
      <c r="AE586" s="3"/>
      <c r="AF586" s="3"/>
      <c r="AG586" s="3">
        <v>200</v>
      </c>
      <c r="AH586" s="3">
        <f>AI586+AJ586+AK586+AL586</f>
        <v>200</v>
      </c>
      <c r="AI586" s="3"/>
      <c r="AJ586" s="3"/>
      <c r="AK586" s="3"/>
      <c r="AL586" s="3">
        <v>200</v>
      </c>
      <c r="AM586" s="3">
        <f>AN586+AO586+AP586+AQ586</f>
        <v>200</v>
      </c>
      <c r="AN586" s="3"/>
      <c r="AO586" s="3"/>
      <c r="AP586" s="3"/>
      <c r="AQ586" s="3">
        <v>200</v>
      </c>
    </row>
    <row r="587" spans="1:43" ht="35.450000000000003" customHeight="1" thickBot="1">
      <c r="A587" s="72" t="s">
        <v>774</v>
      </c>
      <c r="B587" s="104"/>
      <c r="C587" s="283"/>
      <c r="D587" s="284"/>
      <c r="E587" s="284"/>
      <c r="F587" s="275"/>
      <c r="G587" s="3"/>
      <c r="H587" s="3"/>
      <c r="I587" s="82" t="s">
        <v>788</v>
      </c>
      <c r="J587" s="276" t="s">
        <v>153</v>
      </c>
      <c r="K587" s="277">
        <v>45658</v>
      </c>
      <c r="L587" s="3"/>
      <c r="M587" s="87" t="s">
        <v>789</v>
      </c>
      <c r="N587" s="3">
        <f t="shared" si="141"/>
        <v>15</v>
      </c>
      <c r="O587" s="3">
        <f t="shared" si="142"/>
        <v>15</v>
      </c>
      <c r="P587" s="3"/>
      <c r="Q587" s="3"/>
      <c r="R587" s="3"/>
      <c r="S587" s="3"/>
      <c r="T587" s="3"/>
      <c r="U587" s="3"/>
      <c r="V587" s="3">
        <v>15</v>
      </c>
      <c r="W587" s="3">
        <v>15</v>
      </c>
      <c r="X587" s="3"/>
      <c r="Y587" s="3"/>
      <c r="Z587" s="3"/>
      <c r="AA587" s="3"/>
      <c r="AB587" s="3"/>
      <c r="AC587" s="3"/>
      <c r="AD587" s="3"/>
      <c r="AE587" s="3"/>
      <c r="AF587" s="3"/>
      <c r="AG587" s="3"/>
      <c r="AH587" s="3"/>
      <c r="AI587" s="3"/>
      <c r="AJ587" s="3"/>
      <c r="AK587" s="3"/>
      <c r="AL587" s="3"/>
      <c r="AM587" s="3"/>
      <c r="AN587" s="3"/>
      <c r="AO587" s="3"/>
      <c r="AP587" s="3"/>
      <c r="AQ587" s="3"/>
    </row>
    <row r="588" spans="1:43" ht="35.450000000000003" customHeight="1" thickBot="1">
      <c r="A588" s="72" t="s">
        <v>774</v>
      </c>
      <c r="B588" s="104"/>
      <c r="C588" s="283"/>
      <c r="D588" s="284"/>
      <c r="E588" s="284"/>
      <c r="F588" s="275"/>
      <c r="G588" s="3"/>
      <c r="H588" s="3"/>
      <c r="I588" s="93"/>
      <c r="J588" s="281"/>
      <c r="K588" s="281"/>
      <c r="L588" s="3"/>
      <c r="M588" s="87" t="s">
        <v>790</v>
      </c>
      <c r="N588" s="3"/>
      <c r="O588" s="3">
        <f t="shared" si="142"/>
        <v>0</v>
      </c>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row>
    <row r="589" spans="1:43" ht="35.450000000000003" customHeight="1" thickBot="1">
      <c r="A589" s="72" t="s">
        <v>774</v>
      </c>
      <c r="B589" s="104"/>
      <c r="C589" s="285"/>
      <c r="D589" s="286"/>
      <c r="E589" s="286"/>
      <c r="F589" s="287"/>
      <c r="G589" s="3"/>
      <c r="H589" s="3"/>
      <c r="I589" s="87"/>
      <c r="J589" s="87"/>
      <c r="K589" s="87"/>
      <c r="L589" s="3"/>
      <c r="M589" s="87" t="s">
        <v>791</v>
      </c>
      <c r="N589" s="3">
        <f>P589+R589+V589</f>
        <v>53.199999999999989</v>
      </c>
      <c r="O589" s="3">
        <f t="shared" si="142"/>
        <v>53.2</v>
      </c>
      <c r="P589" s="3"/>
      <c r="Q589" s="3"/>
      <c r="R589" s="3"/>
      <c r="S589" s="3"/>
      <c r="T589" s="3"/>
      <c r="U589" s="3"/>
      <c r="V589" s="3">
        <f>200-15-131.8</f>
        <v>53.199999999999989</v>
      </c>
      <c r="W589" s="3">
        <v>53.2</v>
      </c>
      <c r="X589" s="3">
        <f>Y589+Z589+AB589</f>
        <v>0</v>
      </c>
      <c r="Y589" s="3"/>
      <c r="Z589" s="3"/>
      <c r="AA589" s="3"/>
      <c r="AB589" s="3">
        <v>0</v>
      </c>
      <c r="AC589" s="3">
        <f>AD589+AE589+AG589</f>
        <v>0</v>
      </c>
      <c r="AD589" s="3"/>
      <c r="AE589" s="3"/>
      <c r="AF589" s="3"/>
      <c r="AG589" s="3">
        <v>0</v>
      </c>
      <c r="AH589" s="3">
        <f>AI589+AJ589+AK589+AL589</f>
        <v>0</v>
      </c>
      <c r="AI589" s="3"/>
      <c r="AJ589" s="3"/>
      <c r="AK589" s="3"/>
      <c r="AL589" s="3">
        <v>0</v>
      </c>
      <c r="AM589" s="3">
        <f>AN589+AO589+AP589+AQ589</f>
        <v>0</v>
      </c>
      <c r="AN589" s="3"/>
      <c r="AO589" s="3"/>
      <c r="AP589" s="3"/>
      <c r="AQ589" s="3">
        <v>0</v>
      </c>
    </row>
    <row r="590" spans="1:43" ht="35.450000000000003" customHeight="1" thickBot="1">
      <c r="A590" s="76" t="s">
        <v>792</v>
      </c>
      <c r="B590" s="77">
        <v>2555</v>
      </c>
      <c r="C590" s="78"/>
      <c r="D590" s="5"/>
      <c r="E590" s="5"/>
      <c r="F590" s="5"/>
      <c r="G590" s="5"/>
      <c r="H590" s="5"/>
      <c r="I590" s="5"/>
      <c r="J590" s="5"/>
      <c r="K590" s="5"/>
      <c r="L590" s="5">
        <v>6</v>
      </c>
      <c r="M590" s="5"/>
      <c r="N590" s="126">
        <f>N591+N592+N593+N594+N597+N598+N600+N601+N603+N604+N606+N607+N608+N599+N595</f>
        <v>20506.000000000004</v>
      </c>
      <c r="O590" s="126">
        <f t="shared" ref="O590:W590" si="143">O591+O592+O593+O594+O597+O598+O600+O601+O603+O604+O606+O607+O608+O599+O595</f>
        <v>20109.599999999999</v>
      </c>
      <c r="P590" s="126">
        <f t="shared" si="143"/>
        <v>0</v>
      </c>
      <c r="Q590" s="126">
        <f t="shared" si="143"/>
        <v>0</v>
      </c>
      <c r="R590" s="126">
        <f t="shared" si="143"/>
        <v>3994.7</v>
      </c>
      <c r="S590" s="126">
        <f t="shared" si="143"/>
        <v>3764.1</v>
      </c>
      <c r="T590" s="126">
        <f t="shared" si="143"/>
        <v>0</v>
      </c>
      <c r="U590" s="126">
        <f t="shared" si="143"/>
        <v>0</v>
      </c>
      <c r="V590" s="126">
        <f t="shared" si="143"/>
        <v>16511.3</v>
      </c>
      <c r="W590" s="126">
        <f t="shared" si="143"/>
        <v>16345.500000000002</v>
      </c>
      <c r="X590" s="126">
        <f t="shared" ref="X590:AQ590" si="144">X591+X592+X593+X594+X597+X598+X600+X601+X603+X604+X606+X607+X608+X599</f>
        <v>22350</v>
      </c>
      <c r="Y590" s="126">
        <f t="shared" si="144"/>
        <v>0</v>
      </c>
      <c r="Z590" s="126">
        <f t="shared" si="144"/>
        <v>934.5</v>
      </c>
      <c r="AA590" s="126">
        <f t="shared" si="144"/>
        <v>0</v>
      </c>
      <c r="AB590" s="126">
        <f t="shared" si="144"/>
        <v>21415.5</v>
      </c>
      <c r="AC590" s="126">
        <f t="shared" si="144"/>
        <v>19777.3</v>
      </c>
      <c r="AD590" s="126">
        <f t="shared" si="144"/>
        <v>0</v>
      </c>
      <c r="AE590" s="126">
        <f t="shared" si="144"/>
        <v>934.5</v>
      </c>
      <c r="AF590" s="126">
        <f t="shared" si="144"/>
        <v>0</v>
      </c>
      <c r="AG590" s="126">
        <f t="shared" si="144"/>
        <v>18842.8</v>
      </c>
      <c r="AH590" s="126">
        <f t="shared" si="144"/>
        <v>21595</v>
      </c>
      <c r="AI590" s="126">
        <f t="shared" si="144"/>
        <v>0</v>
      </c>
      <c r="AJ590" s="126">
        <f t="shared" si="144"/>
        <v>934.5</v>
      </c>
      <c r="AK590" s="126">
        <f t="shared" si="144"/>
        <v>0</v>
      </c>
      <c r="AL590" s="126">
        <f t="shared" si="144"/>
        <v>20660.5</v>
      </c>
      <c r="AM590" s="126">
        <f t="shared" si="144"/>
        <v>21595</v>
      </c>
      <c r="AN590" s="126">
        <f t="shared" si="144"/>
        <v>0</v>
      </c>
      <c r="AO590" s="126">
        <f t="shared" si="144"/>
        <v>934.5</v>
      </c>
      <c r="AP590" s="126">
        <f t="shared" si="144"/>
        <v>0</v>
      </c>
      <c r="AQ590" s="126">
        <f t="shared" si="144"/>
        <v>20660.5</v>
      </c>
    </row>
    <row r="591" spans="1:43" ht="35.450000000000003" customHeight="1" thickBot="1">
      <c r="A591" s="72" t="s">
        <v>564</v>
      </c>
      <c r="B591" s="104"/>
      <c r="C591" s="64"/>
      <c r="D591" s="64"/>
      <c r="E591" s="64"/>
      <c r="F591" s="4" t="s">
        <v>793</v>
      </c>
      <c r="G591" s="64" t="s">
        <v>277</v>
      </c>
      <c r="H591" s="64" t="s">
        <v>390</v>
      </c>
      <c r="I591" s="107" t="s">
        <v>21</v>
      </c>
      <c r="J591" s="107" t="s">
        <v>794</v>
      </c>
      <c r="K591" s="109" t="s">
        <v>23</v>
      </c>
      <c r="L591" s="3"/>
      <c r="M591" s="87" t="s">
        <v>795</v>
      </c>
      <c r="N591" s="3">
        <f>P591+R591+T591+V591</f>
        <v>200</v>
      </c>
      <c r="O591" s="3">
        <f>Q591+S591+U591+W591</f>
        <v>200</v>
      </c>
      <c r="P591" s="3">
        <v>0</v>
      </c>
      <c r="Q591" s="3"/>
      <c r="R591" s="3">
        <v>200</v>
      </c>
      <c r="S591" s="3">
        <v>200</v>
      </c>
      <c r="T591" s="3">
        <f>V591+SE1355+SF1355+SG1355</f>
        <v>0</v>
      </c>
      <c r="U591" s="3"/>
      <c r="V591" s="3">
        <f>SE1355+SF1355+SG1355+SH1355</f>
        <v>0</v>
      </c>
      <c r="W591" s="3"/>
      <c r="X591" s="3">
        <f>Y591+Z591+AA591+AB591</f>
        <v>0</v>
      </c>
      <c r="Y591" s="3">
        <f>Z591+AA591+AB591+LL1355</f>
        <v>0</v>
      </c>
      <c r="Z591" s="3">
        <f>AA591+AB591+LL1355+LM1355</f>
        <v>0</v>
      </c>
      <c r="AA591" s="3">
        <f>AB591+LL1355+LM1355+LN1355</f>
        <v>0</v>
      </c>
      <c r="AB591" s="3">
        <f>LL1355+LM1355+LN1355+LO1355</f>
        <v>0</v>
      </c>
      <c r="AC591" s="3">
        <f>AD591+AE591+AF591+AG591</f>
        <v>0</v>
      </c>
      <c r="AD591" s="3">
        <f>AE591+AF591+AG591+IE1355</f>
        <v>0</v>
      </c>
      <c r="AE591" s="3">
        <f>AF591+AG591+IE1355+IF1355</f>
        <v>0</v>
      </c>
      <c r="AF591" s="3">
        <f>AG591+IE1355+IF1355+IG1355</f>
        <v>0</v>
      </c>
      <c r="AG591" s="3">
        <f>IE1355+IF1355+IG1355+IH1355</f>
        <v>0</v>
      </c>
      <c r="AH591" s="3">
        <f t="shared" ref="AH591:AH608" si="145">AI591+AJ591+AK591+AL591</f>
        <v>0</v>
      </c>
      <c r="AI591" s="3">
        <f>AJ591+AK591+AL591+EN591</f>
        <v>0</v>
      </c>
      <c r="AJ591" s="3">
        <f>AK591+AL591+EN591+EO591</f>
        <v>0</v>
      </c>
      <c r="AK591" s="3">
        <f>AL591+EN591+EO591+EP591</f>
        <v>0</v>
      </c>
      <c r="AL591" s="3">
        <f>EN591+EO591+EP591+EQ591</f>
        <v>0</v>
      </c>
      <c r="AM591" s="3">
        <f t="shared" ref="AM591:AM608" si="146">AN591+AO591+AP591+AQ591</f>
        <v>0</v>
      </c>
      <c r="AN591" s="3">
        <f>AO591+AP591+AQ591+ES591</f>
        <v>0</v>
      </c>
      <c r="AO591" s="3">
        <f>AP591+AQ591+ES591+ET591</f>
        <v>0</v>
      </c>
      <c r="AP591" s="3">
        <f>AQ591+ES591+ET591+EU591</f>
        <v>0</v>
      </c>
      <c r="AQ591" s="3">
        <f>ES591+ET591+EU591+EV591</f>
        <v>0</v>
      </c>
    </row>
    <row r="592" spans="1:43" ht="35.450000000000003" customHeight="1" thickBot="1">
      <c r="A592" s="72" t="s">
        <v>564</v>
      </c>
      <c r="B592" s="80"/>
      <c r="C592" s="64" t="s">
        <v>442</v>
      </c>
      <c r="D592" s="64" t="s">
        <v>443</v>
      </c>
      <c r="E592" s="64" t="s">
        <v>444</v>
      </c>
      <c r="F592" s="84" t="s">
        <v>796</v>
      </c>
      <c r="G592" s="84" t="s">
        <v>797</v>
      </c>
      <c r="H592" s="84" t="s">
        <v>798</v>
      </c>
      <c r="I592" s="64" t="s">
        <v>799</v>
      </c>
      <c r="J592" s="64" t="s">
        <v>277</v>
      </c>
      <c r="K592" s="63"/>
      <c r="L592" s="75"/>
      <c r="M592" s="87" t="s">
        <v>800</v>
      </c>
      <c r="N592" s="3">
        <f>P592+R592+T592+V592</f>
        <v>967.2</v>
      </c>
      <c r="O592" s="3">
        <f t="shared" ref="O592:O608" si="147">Q592+S592+U592+W592</f>
        <v>967.2</v>
      </c>
      <c r="P592" s="3"/>
      <c r="Q592" s="3"/>
      <c r="R592" s="3">
        <v>967.2</v>
      </c>
      <c r="S592" s="3">
        <v>967.2</v>
      </c>
      <c r="T592" s="3"/>
      <c r="U592" s="3"/>
      <c r="V592" s="3"/>
      <c r="W592" s="3"/>
      <c r="X592" s="3">
        <f>Y592+Z592+AA592+AB592</f>
        <v>0</v>
      </c>
      <c r="Y592" s="3"/>
      <c r="Z592" s="3">
        <v>0</v>
      </c>
      <c r="AA592" s="3"/>
      <c r="AB592" s="3"/>
      <c r="AC592" s="3">
        <f>AD592+AE592+AF592+AG592</f>
        <v>0</v>
      </c>
      <c r="AD592" s="3"/>
      <c r="AE592" s="3">
        <v>0</v>
      </c>
      <c r="AF592" s="3"/>
      <c r="AG592" s="3"/>
      <c r="AH592" s="3">
        <f t="shared" si="145"/>
        <v>0</v>
      </c>
      <c r="AI592" s="3"/>
      <c r="AJ592" s="3">
        <v>0</v>
      </c>
      <c r="AK592" s="3"/>
      <c r="AL592" s="3"/>
      <c r="AM592" s="3">
        <f t="shared" si="146"/>
        <v>0</v>
      </c>
      <c r="AN592" s="3"/>
      <c r="AO592" s="3">
        <v>0</v>
      </c>
      <c r="AP592" s="3"/>
      <c r="AQ592" s="3"/>
    </row>
    <row r="593" spans="1:43" ht="35.450000000000003" customHeight="1" thickBot="1">
      <c r="A593" s="72" t="s">
        <v>564</v>
      </c>
      <c r="B593" s="80"/>
      <c r="C593" s="64"/>
      <c r="D593" s="64"/>
      <c r="E593" s="64"/>
      <c r="F593" s="4"/>
      <c r="G593" s="64"/>
      <c r="H593" s="64"/>
      <c r="I593" s="84"/>
      <c r="J593" s="64"/>
      <c r="K593" s="63"/>
      <c r="L593" s="75"/>
      <c r="M593" s="87" t="s">
        <v>801</v>
      </c>
      <c r="N593" s="3">
        <f>P593+R593+T593+V593</f>
        <v>550</v>
      </c>
      <c r="O593" s="3">
        <f t="shared" si="147"/>
        <v>550</v>
      </c>
      <c r="P593" s="3"/>
      <c r="Q593" s="3"/>
      <c r="R593" s="3">
        <v>550</v>
      </c>
      <c r="S593" s="3">
        <v>550</v>
      </c>
      <c r="T593" s="3"/>
      <c r="U593" s="3"/>
      <c r="V593" s="3"/>
      <c r="W593" s="3"/>
      <c r="X593" s="3">
        <f>Y593+Z593+AA593+AB593</f>
        <v>0</v>
      </c>
      <c r="Y593" s="3"/>
      <c r="Z593" s="3"/>
      <c r="AA593" s="3"/>
      <c r="AB593" s="3"/>
      <c r="AC593" s="3">
        <f>AD593+AE593+AF593+AG593</f>
        <v>0</v>
      </c>
      <c r="AD593" s="3"/>
      <c r="AE593" s="3"/>
      <c r="AF593" s="3"/>
      <c r="AG593" s="3"/>
      <c r="AH593" s="3">
        <f t="shared" si="145"/>
        <v>0</v>
      </c>
      <c r="AI593" s="3"/>
      <c r="AJ593" s="3"/>
      <c r="AK593" s="3"/>
      <c r="AL593" s="3"/>
      <c r="AM593" s="3">
        <f t="shared" si="146"/>
        <v>0</v>
      </c>
      <c r="AN593" s="3"/>
      <c r="AO593" s="3"/>
      <c r="AP593" s="3"/>
      <c r="AQ593" s="3"/>
    </row>
    <row r="594" spans="1:43" ht="35.450000000000003" customHeight="1" thickBot="1">
      <c r="A594" s="72" t="s">
        <v>564</v>
      </c>
      <c r="B594" s="80"/>
      <c r="C594" s="64"/>
      <c r="D594" s="64"/>
      <c r="E594" s="64"/>
      <c r="F594" s="87"/>
      <c r="G594" s="64"/>
      <c r="H594" s="223"/>
      <c r="I594" s="64"/>
      <c r="J594" s="64"/>
      <c r="K594" s="63"/>
      <c r="L594" s="75"/>
      <c r="M594" s="87" t="s">
        <v>802</v>
      </c>
      <c r="N594" s="3">
        <f>P594+R594+T594+V594</f>
        <v>0</v>
      </c>
      <c r="O594" s="3">
        <f t="shared" si="147"/>
        <v>0</v>
      </c>
      <c r="P594" s="3"/>
      <c r="Q594" s="3"/>
      <c r="R594" s="3"/>
      <c r="S594" s="3"/>
      <c r="T594" s="3"/>
      <c r="U594" s="3"/>
      <c r="V594" s="3"/>
      <c r="W594" s="3"/>
      <c r="X594" s="3">
        <f>Y594+Z594+AA594+AB594</f>
        <v>0</v>
      </c>
      <c r="Y594" s="3"/>
      <c r="Z594" s="3"/>
      <c r="AA594" s="3"/>
      <c r="AB594" s="3"/>
      <c r="AC594" s="3">
        <f>AD594+AE594+AF594+AG594</f>
        <v>0</v>
      </c>
      <c r="AD594" s="3"/>
      <c r="AE594" s="3"/>
      <c r="AF594" s="3"/>
      <c r="AG594" s="3"/>
      <c r="AH594" s="3">
        <f t="shared" si="145"/>
        <v>0</v>
      </c>
      <c r="AI594" s="3"/>
      <c r="AJ594" s="3"/>
      <c r="AK594" s="3"/>
      <c r="AL594" s="3"/>
      <c r="AM594" s="3">
        <f t="shared" si="146"/>
        <v>0</v>
      </c>
      <c r="AN594" s="3"/>
      <c r="AO594" s="3"/>
      <c r="AP594" s="3"/>
      <c r="AQ594" s="3"/>
    </row>
    <row r="595" spans="1:43" ht="35.450000000000003" customHeight="1" thickBot="1">
      <c r="A595" s="72" t="s">
        <v>564</v>
      </c>
      <c r="B595" s="80"/>
      <c r="C595" s="64"/>
      <c r="D595" s="64"/>
      <c r="E595" s="64"/>
      <c r="F595" s="87"/>
      <c r="G595" s="64"/>
      <c r="H595" s="223"/>
      <c r="I595" s="64"/>
      <c r="J595" s="64"/>
      <c r="K595" s="63"/>
      <c r="L595" s="75"/>
      <c r="M595" s="87" t="s">
        <v>803</v>
      </c>
      <c r="N595" s="3">
        <f>P595+R595+T595+V595</f>
        <v>859.2</v>
      </c>
      <c r="O595" s="3">
        <f t="shared" si="147"/>
        <v>628.6</v>
      </c>
      <c r="P595" s="3"/>
      <c r="Q595" s="3"/>
      <c r="R595" s="3">
        <v>859.2</v>
      </c>
      <c r="S595" s="3">
        <v>628.6</v>
      </c>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row>
    <row r="596" spans="1:43" ht="35.450000000000003" customHeight="1" thickBot="1">
      <c r="A596" s="72" t="s">
        <v>564</v>
      </c>
      <c r="B596" s="80"/>
      <c r="C596" s="64"/>
      <c r="D596" s="64"/>
      <c r="E596" s="64"/>
      <c r="F596" s="87"/>
      <c r="G596" s="64"/>
      <c r="H596" s="223"/>
      <c r="I596" s="64"/>
      <c r="J596" s="64"/>
      <c r="K596" s="63"/>
      <c r="L596" s="75"/>
      <c r="M596" s="87" t="s">
        <v>804</v>
      </c>
      <c r="N596" s="3"/>
      <c r="O596" s="3">
        <f t="shared" si="147"/>
        <v>0</v>
      </c>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row>
    <row r="597" spans="1:43" ht="35.450000000000003" customHeight="1" thickBot="1">
      <c r="A597" s="72" t="s">
        <v>564</v>
      </c>
      <c r="B597" s="80"/>
      <c r="F597" s="4"/>
      <c r="G597" s="64"/>
      <c r="H597" s="64"/>
      <c r="I597" s="64"/>
      <c r="J597" s="64"/>
      <c r="K597" s="63"/>
      <c r="L597" s="3"/>
      <c r="M597" s="87" t="s">
        <v>805</v>
      </c>
      <c r="N597" s="3">
        <f>P597+R597+T597+V597</f>
        <v>3517.7000000000003</v>
      </c>
      <c r="O597" s="3">
        <f t="shared" si="147"/>
        <v>3517.7</v>
      </c>
      <c r="P597" s="3"/>
      <c r="Q597" s="3"/>
      <c r="R597" s="3"/>
      <c r="S597" s="3"/>
      <c r="T597" s="3"/>
      <c r="U597" s="3"/>
      <c r="V597" s="3">
        <f>2817.1+220+45.3+247.4+35+152.9</f>
        <v>3517.7000000000003</v>
      </c>
      <c r="W597" s="3">
        <v>3517.7</v>
      </c>
      <c r="X597" s="3">
        <f>Y597+Z597+AA597+AB597</f>
        <v>4650.9000000000005</v>
      </c>
      <c r="Y597" s="3"/>
      <c r="Z597" s="3"/>
      <c r="AA597" s="3"/>
      <c r="AB597" s="3">
        <f>3352+284+338.9+37.9+275.3+407.4-129+35+94-407.4+67.5+45.3+50.1-0.1+200</f>
        <v>4650.9000000000005</v>
      </c>
      <c r="AC597" s="3">
        <f>AD597+AE597+AF597+AG597</f>
        <v>3680.2</v>
      </c>
      <c r="AD597" s="3"/>
      <c r="AE597" s="3"/>
      <c r="AF597" s="3"/>
      <c r="AG597" s="3">
        <v>3680.2</v>
      </c>
      <c r="AH597" s="3">
        <f t="shared" si="145"/>
        <v>5497.9</v>
      </c>
      <c r="AI597" s="3"/>
      <c r="AJ597" s="3"/>
      <c r="AK597" s="3"/>
      <c r="AL597" s="3">
        <v>5497.9</v>
      </c>
      <c r="AM597" s="3">
        <f t="shared" si="146"/>
        <v>5497.9</v>
      </c>
      <c r="AN597" s="3"/>
      <c r="AO597" s="3"/>
      <c r="AP597" s="3"/>
      <c r="AQ597" s="3">
        <v>5497.9</v>
      </c>
    </row>
    <row r="598" spans="1:43" ht="35.450000000000003" customHeight="1" thickBot="1">
      <c r="A598" s="72" t="s">
        <v>564</v>
      </c>
      <c r="B598" s="80"/>
      <c r="C598" s="64"/>
      <c r="D598" s="64"/>
      <c r="E598" s="64"/>
      <c r="F598" s="4"/>
      <c r="G598" s="64"/>
      <c r="H598" s="64"/>
      <c r="I598" s="64"/>
      <c r="J598" s="64"/>
      <c r="K598" s="63"/>
      <c r="L598" s="3"/>
      <c r="M598" s="87" t="s">
        <v>806</v>
      </c>
      <c r="N598" s="3">
        <f>P598+R598+T598+V598</f>
        <v>1189.1999999999998</v>
      </c>
      <c r="O598" s="3">
        <f t="shared" si="147"/>
        <v>1040.4000000000001</v>
      </c>
      <c r="P598" s="3"/>
      <c r="Q598" s="3"/>
      <c r="R598" s="3"/>
      <c r="S598" s="3"/>
      <c r="T598" s="3"/>
      <c r="U598" s="3"/>
      <c r="V598" s="3">
        <f>1064.1+51.6-3.2-100+176.7</f>
        <v>1189.1999999999998</v>
      </c>
      <c r="W598" s="3">
        <v>1040.4000000000001</v>
      </c>
      <c r="X598" s="3">
        <f>Y598+Z598+AA598+AB598</f>
        <v>1288.5</v>
      </c>
      <c r="Y598" s="3"/>
      <c r="Z598" s="3"/>
      <c r="AA598" s="3"/>
      <c r="AB598" s="3">
        <v>1288.5</v>
      </c>
      <c r="AC598" s="3">
        <f>AD598+AE598+AF598+AG598</f>
        <v>1288.5</v>
      </c>
      <c r="AD598" s="3"/>
      <c r="AE598" s="3"/>
      <c r="AF598" s="3"/>
      <c r="AG598" s="3">
        <v>1288.5</v>
      </c>
      <c r="AH598" s="3">
        <f t="shared" si="145"/>
        <v>1288.5</v>
      </c>
      <c r="AI598" s="3"/>
      <c r="AJ598" s="3"/>
      <c r="AK598" s="3"/>
      <c r="AL598" s="3">
        <v>1288.5</v>
      </c>
      <c r="AM598" s="3">
        <f t="shared" si="146"/>
        <v>1288.5</v>
      </c>
      <c r="AN598" s="3"/>
      <c r="AO598" s="3"/>
      <c r="AP598" s="3"/>
      <c r="AQ598" s="3">
        <v>1288.5</v>
      </c>
    </row>
    <row r="599" spans="1:43" ht="35.450000000000003" customHeight="1" thickBot="1">
      <c r="A599" s="72" t="s">
        <v>564</v>
      </c>
      <c r="B599" s="80"/>
      <c r="C599" s="64"/>
      <c r="D599" s="64"/>
      <c r="E599" s="64"/>
      <c r="F599" s="4"/>
      <c r="G599" s="64"/>
      <c r="H599" s="64"/>
      <c r="I599" s="64"/>
      <c r="J599" s="64"/>
      <c r="K599" s="63"/>
      <c r="L599" s="3"/>
      <c r="M599" s="87" t="s">
        <v>807</v>
      </c>
      <c r="N599" s="3">
        <f>P599+R599+T599+V599</f>
        <v>542.20000000000005</v>
      </c>
      <c r="O599" s="3">
        <f t="shared" si="147"/>
        <v>542.20000000000005</v>
      </c>
      <c r="P599" s="3"/>
      <c r="Q599" s="3"/>
      <c r="R599" s="3"/>
      <c r="S599" s="3"/>
      <c r="T599" s="3"/>
      <c r="U599" s="3"/>
      <c r="V599" s="3">
        <f>300+250-7.8</f>
        <v>542.20000000000005</v>
      </c>
      <c r="W599" s="3">
        <v>542.20000000000005</v>
      </c>
      <c r="X599" s="3"/>
      <c r="Y599" s="3"/>
      <c r="Z599" s="3"/>
      <c r="AA599" s="3"/>
      <c r="AB599" s="3"/>
      <c r="AC599" s="3"/>
      <c r="AD599" s="3"/>
      <c r="AE599" s="3"/>
      <c r="AF599" s="3"/>
      <c r="AG599" s="3"/>
      <c r="AH599" s="3"/>
      <c r="AI599" s="3"/>
      <c r="AJ599" s="3"/>
      <c r="AK599" s="3"/>
      <c r="AL599" s="3"/>
      <c r="AM599" s="3"/>
      <c r="AN599" s="3"/>
      <c r="AO599" s="3"/>
      <c r="AP599" s="3"/>
      <c r="AQ599" s="3"/>
    </row>
    <row r="600" spans="1:43" ht="35.450000000000003" customHeight="1" thickBot="1">
      <c r="A600" s="72" t="s">
        <v>564</v>
      </c>
      <c r="B600" s="80"/>
      <c r="C600" s="64"/>
      <c r="D600" s="64"/>
      <c r="E600" s="64"/>
      <c r="F600" s="64" t="s">
        <v>1314</v>
      </c>
      <c r="G600" s="131" t="s">
        <v>153</v>
      </c>
      <c r="H600" s="288" t="s">
        <v>1315</v>
      </c>
      <c r="I600" s="233" t="s">
        <v>1255</v>
      </c>
      <c r="J600" s="64" t="s">
        <v>277</v>
      </c>
      <c r="K600" s="63"/>
      <c r="L600" s="3"/>
      <c r="M600" s="87" t="s">
        <v>808</v>
      </c>
      <c r="N600" s="3">
        <f>P600+R600+T600+V600</f>
        <v>12464.2</v>
      </c>
      <c r="O600" s="3">
        <f t="shared" si="147"/>
        <v>12447.2</v>
      </c>
      <c r="P600" s="3"/>
      <c r="Q600" s="3"/>
      <c r="R600" s="3">
        <v>1418.3</v>
      </c>
      <c r="S600" s="3">
        <v>1418.3</v>
      </c>
      <c r="T600" s="3"/>
      <c r="U600" s="3"/>
      <c r="V600" s="3">
        <f>9651.2+2587.6-200.4+483.7+118.8-176.7-1418.3</f>
        <v>11045.900000000001</v>
      </c>
      <c r="W600" s="3">
        <f>12447.2-1418.3</f>
        <v>11028.900000000001</v>
      </c>
      <c r="X600" s="3">
        <f>Y600+Z600+AA600+AB600</f>
        <v>15298.1</v>
      </c>
      <c r="Y600" s="3"/>
      <c r="Z600" s="3"/>
      <c r="AA600" s="3"/>
      <c r="AB600" s="3">
        <f>13874.1+1214.9+0.1-200+409</f>
        <v>15298.1</v>
      </c>
      <c r="AC600" s="3">
        <f>AD600+AE600+AF600+AG600</f>
        <v>13874.1</v>
      </c>
      <c r="AD600" s="3"/>
      <c r="AE600" s="3"/>
      <c r="AF600" s="3"/>
      <c r="AG600" s="3">
        <v>13874.1</v>
      </c>
      <c r="AH600" s="3">
        <f t="shared" si="145"/>
        <v>13874.1</v>
      </c>
      <c r="AI600" s="3"/>
      <c r="AJ600" s="3"/>
      <c r="AK600" s="3"/>
      <c r="AL600" s="3">
        <v>13874.1</v>
      </c>
      <c r="AM600" s="3">
        <f t="shared" si="146"/>
        <v>13874.1</v>
      </c>
      <c r="AN600" s="3"/>
      <c r="AO600" s="3"/>
      <c r="AP600" s="3"/>
      <c r="AQ600" s="3">
        <v>13874.1</v>
      </c>
    </row>
    <row r="601" spans="1:43" ht="35.450000000000003" customHeight="1" thickBot="1">
      <c r="A601" s="72" t="s">
        <v>564</v>
      </c>
      <c r="B601" s="80"/>
      <c r="C601" s="64"/>
      <c r="D601" s="64"/>
      <c r="E601" s="64"/>
      <c r="F601" s="4"/>
      <c r="G601" s="64"/>
      <c r="H601" s="64"/>
      <c r="I601" s="64"/>
      <c r="J601" s="64"/>
      <c r="K601" s="63"/>
      <c r="L601" s="3"/>
      <c r="M601" s="87" t="s">
        <v>809</v>
      </c>
      <c r="N601" s="3">
        <f>P601+R601+T601+V601</f>
        <v>0</v>
      </c>
      <c r="O601" s="3">
        <f t="shared" si="147"/>
        <v>0</v>
      </c>
      <c r="P601" s="3"/>
      <c r="Q601" s="3"/>
      <c r="R601" s="3"/>
      <c r="S601" s="3"/>
      <c r="T601" s="3"/>
      <c r="U601" s="3"/>
      <c r="V601" s="3"/>
      <c r="W601" s="3"/>
      <c r="X601" s="3">
        <f>Y601+Z601+AA601+AB601</f>
        <v>0</v>
      </c>
      <c r="Y601" s="3"/>
      <c r="Z601" s="3"/>
      <c r="AA601" s="3"/>
      <c r="AB601" s="3"/>
      <c r="AC601" s="3">
        <f>AD601+AE601+AF601+AG601</f>
        <v>0</v>
      </c>
      <c r="AD601" s="3"/>
      <c r="AE601" s="3"/>
      <c r="AF601" s="3"/>
      <c r="AG601" s="3"/>
      <c r="AH601" s="3">
        <f t="shared" si="145"/>
        <v>0</v>
      </c>
      <c r="AI601" s="3"/>
      <c r="AJ601" s="3"/>
      <c r="AK601" s="3"/>
      <c r="AL601" s="3"/>
      <c r="AM601" s="3">
        <f t="shared" si="146"/>
        <v>0</v>
      </c>
      <c r="AN601" s="3"/>
      <c r="AO601" s="3"/>
      <c r="AP601" s="3"/>
      <c r="AQ601" s="3"/>
    </row>
    <row r="602" spans="1:43" ht="35.450000000000003" customHeight="1" thickBot="1">
      <c r="A602" s="72" t="s">
        <v>564</v>
      </c>
      <c r="B602" s="80"/>
      <c r="C602" s="64"/>
      <c r="D602" s="64"/>
      <c r="E602" s="64"/>
      <c r="F602" s="4"/>
      <c r="G602" s="64"/>
      <c r="H602" s="64"/>
      <c r="I602" s="64"/>
      <c r="J602" s="64"/>
      <c r="K602" s="63"/>
      <c r="L602" s="3"/>
      <c r="M602" s="87" t="s">
        <v>810</v>
      </c>
      <c r="N602" s="3"/>
      <c r="O602" s="3">
        <f t="shared" si="147"/>
        <v>0</v>
      </c>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row>
    <row r="603" spans="1:43" ht="35.450000000000003" customHeight="1" thickBot="1">
      <c r="A603" s="72" t="s">
        <v>564</v>
      </c>
      <c r="B603" s="80"/>
      <c r="C603" s="64"/>
      <c r="D603" s="64"/>
      <c r="E603" s="64"/>
      <c r="F603" s="4"/>
      <c r="G603" s="64"/>
      <c r="H603" s="64"/>
      <c r="K603" s="63"/>
      <c r="L603" s="3"/>
      <c r="M603" s="87" t="s">
        <v>811</v>
      </c>
      <c r="N603" s="3">
        <f>P603+R603+T603+V603</f>
        <v>0</v>
      </c>
      <c r="O603" s="3">
        <f t="shared" si="147"/>
        <v>0</v>
      </c>
      <c r="P603" s="3"/>
      <c r="Q603" s="3"/>
      <c r="R603" s="3"/>
      <c r="S603" s="3"/>
      <c r="T603" s="3"/>
      <c r="U603" s="3"/>
      <c r="V603" s="3"/>
      <c r="W603" s="3"/>
      <c r="X603" s="3">
        <f>Y603+Z603+AA603+AB603</f>
        <v>0</v>
      </c>
      <c r="Y603" s="3"/>
      <c r="Z603" s="3"/>
      <c r="AA603" s="3"/>
      <c r="AB603" s="3"/>
      <c r="AC603" s="3">
        <f>AD603+AE603+AF603+AG603</f>
        <v>0</v>
      </c>
      <c r="AD603" s="3"/>
      <c r="AE603" s="3"/>
      <c r="AF603" s="3"/>
      <c r="AG603" s="3"/>
      <c r="AH603" s="3">
        <f t="shared" si="145"/>
        <v>0</v>
      </c>
      <c r="AI603" s="3"/>
      <c r="AJ603" s="3"/>
      <c r="AK603" s="3"/>
      <c r="AL603" s="3"/>
      <c r="AM603" s="3">
        <f t="shared" si="146"/>
        <v>0</v>
      </c>
      <c r="AN603" s="3"/>
      <c r="AO603" s="3"/>
      <c r="AP603" s="3"/>
      <c r="AQ603" s="3"/>
    </row>
    <row r="604" spans="1:43" ht="35.450000000000003" customHeight="1" thickBot="1">
      <c r="A604" s="72" t="s">
        <v>564</v>
      </c>
      <c r="B604" s="80"/>
      <c r="C604" s="64"/>
      <c r="D604" s="64"/>
      <c r="E604" s="64"/>
      <c r="F604" s="64"/>
      <c r="G604" s="64"/>
      <c r="H604" s="64"/>
      <c r="I604" s="64"/>
      <c r="J604" s="64"/>
      <c r="K604" s="63"/>
      <c r="L604" s="3"/>
      <c r="M604" s="87" t="s">
        <v>812</v>
      </c>
      <c r="N604" s="3">
        <f>P604+R604+T604+V604</f>
        <v>0</v>
      </c>
      <c r="O604" s="3">
        <f t="shared" si="147"/>
        <v>0</v>
      </c>
      <c r="P604" s="3"/>
      <c r="Q604" s="3"/>
      <c r="R604" s="3"/>
      <c r="S604" s="3"/>
      <c r="T604" s="3"/>
      <c r="U604" s="3"/>
      <c r="V604" s="3"/>
      <c r="W604" s="3"/>
      <c r="X604" s="3">
        <f>Y604+Z604+AA604+AB604</f>
        <v>0</v>
      </c>
      <c r="Y604" s="3"/>
      <c r="Z604" s="3"/>
      <c r="AA604" s="3"/>
      <c r="AB604" s="3"/>
      <c r="AC604" s="3">
        <f>AD604+AE604+AF604+AG604</f>
        <v>0</v>
      </c>
      <c r="AD604" s="3"/>
      <c r="AE604" s="3"/>
      <c r="AF604" s="3"/>
      <c r="AG604" s="3"/>
      <c r="AH604" s="3">
        <f t="shared" si="145"/>
        <v>0</v>
      </c>
      <c r="AI604" s="3"/>
      <c r="AJ604" s="3"/>
      <c r="AK604" s="3"/>
      <c r="AL604" s="3"/>
      <c r="AM604" s="3">
        <f t="shared" si="146"/>
        <v>0</v>
      </c>
      <c r="AN604" s="3"/>
      <c r="AO604" s="3"/>
      <c r="AP604" s="3"/>
      <c r="AQ604" s="3"/>
    </row>
    <row r="605" spans="1:43" ht="35.450000000000003" customHeight="1" thickBot="1">
      <c r="A605" s="72" t="s">
        <v>564</v>
      </c>
      <c r="B605" s="80"/>
      <c r="C605" s="64"/>
      <c r="D605" s="64"/>
      <c r="E605" s="64"/>
      <c r="F605" s="4"/>
      <c r="G605" s="64"/>
      <c r="H605" s="64"/>
      <c r="I605" s="64"/>
      <c r="J605" s="64"/>
      <c r="K605" s="63"/>
      <c r="L605" s="3"/>
      <c r="M605" s="87" t="s">
        <v>813</v>
      </c>
      <c r="N605" s="3"/>
      <c r="O605" s="3">
        <f t="shared" si="147"/>
        <v>0</v>
      </c>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row>
    <row r="606" spans="1:43" ht="35.450000000000003" customHeight="1" thickBot="1">
      <c r="A606" s="72" t="s">
        <v>564</v>
      </c>
      <c r="B606" s="80"/>
      <c r="C606" s="64"/>
      <c r="D606" s="64"/>
      <c r="E606" s="64"/>
      <c r="F606" s="64"/>
      <c r="G606" s="64"/>
      <c r="H606" s="64"/>
      <c r="I606" s="64"/>
      <c r="J606" s="64"/>
      <c r="K606" s="63"/>
      <c r="L606" s="3"/>
      <c r="M606" s="87" t="s">
        <v>814</v>
      </c>
      <c r="N606" s="3">
        <f>P606+R606+T606+V606</f>
        <v>14</v>
      </c>
      <c r="O606" s="3">
        <f t="shared" si="147"/>
        <v>14</v>
      </c>
      <c r="P606" s="3"/>
      <c r="Q606" s="3"/>
      <c r="R606" s="3"/>
      <c r="S606" s="3"/>
      <c r="T606" s="3"/>
      <c r="U606" s="3"/>
      <c r="V606" s="3">
        <v>14</v>
      </c>
      <c r="W606" s="3">
        <v>14</v>
      </c>
      <c r="X606" s="3">
        <f>Y606+Z606+AA606+AB606</f>
        <v>0</v>
      </c>
      <c r="Y606" s="3"/>
      <c r="Z606" s="3"/>
      <c r="AA606" s="3"/>
      <c r="AB606" s="3"/>
      <c r="AC606" s="3">
        <f>AD606+AE606+AF606+AG606</f>
        <v>0</v>
      </c>
      <c r="AD606" s="3"/>
      <c r="AE606" s="3"/>
      <c r="AF606" s="3"/>
      <c r="AG606" s="3"/>
      <c r="AH606" s="3">
        <f t="shared" si="145"/>
        <v>0</v>
      </c>
      <c r="AI606" s="3"/>
      <c r="AJ606" s="3"/>
      <c r="AK606" s="3"/>
      <c r="AL606" s="3"/>
      <c r="AM606" s="3">
        <f t="shared" si="146"/>
        <v>0</v>
      </c>
      <c r="AN606" s="3"/>
      <c r="AO606" s="3"/>
      <c r="AP606" s="3"/>
      <c r="AQ606" s="3"/>
    </row>
    <row r="607" spans="1:43" ht="35.450000000000003" customHeight="1" thickBot="1">
      <c r="A607" s="72" t="s">
        <v>564</v>
      </c>
      <c r="B607" s="80"/>
      <c r="C607" s="64"/>
      <c r="D607" s="250"/>
      <c r="E607" s="64"/>
      <c r="F607" s="289"/>
      <c r="G607" s="250"/>
      <c r="H607" s="253"/>
      <c r="I607" s="64"/>
      <c r="J607" s="64"/>
      <c r="K607" s="63"/>
      <c r="L607" s="3"/>
      <c r="M607" s="87" t="s">
        <v>815</v>
      </c>
      <c r="N607" s="3">
        <f>P607+R607+T607+V607</f>
        <v>18</v>
      </c>
      <c r="O607" s="3">
        <f t="shared" si="147"/>
        <v>18</v>
      </c>
      <c r="P607" s="3"/>
      <c r="Q607" s="3"/>
      <c r="R607" s="3"/>
      <c r="S607" s="3"/>
      <c r="T607" s="3"/>
      <c r="U607" s="3"/>
      <c r="V607" s="3">
        <v>18</v>
      </c>
      <c r="W607" s="3">
        <v>18</v>
      </c>
      <c r="X607" s="3">
        <f>Y607+Z607+AA607+AB607</f>
        <v>0</v>
      </c>
      <c r="Y607" s="3"/>
      <c r="Z607" s="3"/>
      <c r="AA607" s="3"/>
      <c r="AB607" s="3"/>
      <c r="AC607" s="3">
        <f>AD607+AE607+AF607+AG607</f>
        <v>0</v>
      </c>
      <c r="AD607" s="3"/>
      <c r="AE607" s="3"/>
      <c r="AF607" s="3"/>
      <c r="AG607" s="3"/>
      <c r="AH607" s="3">
        <f t="shared" si="145"/>
        <v>0</v>
      </c>
      <c r="AI607" s="3"/>
      <c r="AJ607" s="3"/>
      <c r="AK607" s="3"/>
      <c r="AL607" s="3"/>
      <c r="AM607" s="3">
        <f t="shared" si="146"/>
        <v>0</v>
      </c>
      <c r="AN607" s="3"/>
      <c r="AO607" s="3"/>
      <c r="AP607" s="3"/>
      <c r="AQ607" s="3"/>
    </row>
    <row r="608" spans="1:43" ht="35.450000000000003" customHeight="1" thickBot="1">
      <c r="A608" s="72" t="s">
        <v>564</v>
      </c>
      <c r="B608" s="80"/>
      <c r="C608" s="64"/>
      <c r="D608" s="64"/>
      <c r="E608" s="64"/>
      <c r="F608" s="64"/>
      <c r="G608" s="64"/>
      <c r="H608" s="64"/>
      <c r="I608" s="64"/>
      <c r="J608" s="64"/>
      <c r="K608" s="63"/>
      <c r="L608" s="3"/>
      <c r="M608" s="87" t="s">
        <v>816</v>
      </c>
      <c r="N608" s="3">
        <f>P608+R608+T608+V608</f>
        <v>184.3</v>
      </c>
      <c r="O608" s="3">
        <f t="shared" si="147"/>
        <v>184.3</v>
      </c>
      <c r="P608" s="3"/>
      <c r="Q608" s="3"/>
      <c r="R608" s="3"/>
      <c r="S608" s="3"/>
      <c r="T608" s="3"/>
      <c r="U608" s="3"/>
      <c r="V608" s="3">
        <v>184.3</v>
      </c>
      <c r="W608" s="3">
        <v>184.3</v>
      </c>
      <c r="X608" s="3">
        <f>Y608+Z608+AA608+AB608</f>
        <v>1112.5</v>
      </c>
      <c r="Y608" s="3"/>
      <c r="Z608" s="3">
        <v>934.5</v>
      </c>
      <c r="AA608" s="3"/>
      <c r="AB608" s="3">
        <v>178</v>
      </c>
      <c r="AC608" s="3">
        <f>AD608+AE608+AF608+AG608</f>
        <v>934.5</v>
      </c>
      <c r="AD608" s="3"/>
      <c r="AE608" s="3">
        <v>934.5</v>
      </c>
      <c r="AF608" s="3"/>
      <c r="AG608" s="3">
        <v>0</v>
      </c>
      <c r="AH608" s="3">
        <f t="shared" si="145"/>
        <v>934.5</v>
      </c>
      <c r="AI608" s="3"/>
      <c r="AJ608" s="3">
        <v>934.5</v>
      </c>
      <c r="AK608" s="3"/>
      <c r="AL608" s="3">
        <v>0</v>
      </c>
      <c r="AM608" s="3">
        <f t="shared" si="146"/>
        <v>934.5</v>
      </c>
      <c r="AN608" s="3"/>
      <c r="AO608" s="3">
        <v>934.5</v>
      </c>
      <c r="AP608" s="3"/>
      <c r="AQ608" s="3">
        <v>0</v>
      </c>
    </row>
    <row r="609" spans="1:43" ht="35.450000000000003" customHeight="1" thickBot="1">
      <c r="A609" s="72" t="s">
        <v>817</v>
      </c>
      <c r="B609" s="80">
        <v>2556</v>
      </c>
      <c r="C609" s="71"/>
      <c r="D609" s="3"/>
      <c r="E609" s="3"/>
      <c r="F609" s="3"/>
      <c r="G609" s="3"/>
      <c r="H609" s="3"/>
      <c r="I609" s="3"/>
      <c r="J609" s="3"/>
      <c r="K609" s="3"/>
      <c r="L609" s="3">
        <v>23</v>
      </c>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row>
    <row r="610" spans="1:43" ht="35.450000000000003" customHeight="1">
      <c r="A610" s="290" t="s">
        <v>818</v>
      </c>
      <c r="B610" s="291">
        <v>2557</v>
      </c>
      <c r="C610" s="78"/>
      <c r="D610" s="5"/>
      <c r="E610" s="5"/>
      <c r="F610" s="5"/>
      <c r="G610" s="5"/>
      <c r="H610" s="5"/>
      <c r="I610" s="5"/>
      <c r="J610" s="5"/>
      <c r="K610" s="5"/>
      <c r="L610" s="5">
        <v>23</v>
      </c>
      <c r="M610" s="5"/>
      <c r="N610" s="5">
        <f>N611</f>
        <v>50</v>
      </c>
      <c r="O610" s="5">
        <f t="shared" ref="O610:AQ610" si="148">O611</f>
        <v>50</v>
      </c>
      <c r="P610" s="5">
        <f t="shared" si="148"/>
        <v>0</v>
      </c>
      <c r="Q610" s="5">
        <f t="shared" si="148"/>
        <v>0</v>
      </c>
      <c r="R610" s="5">
        <f t="shared" si="148"/>
        <v>0</v>
      </c>
      <c r="S610" s="5">
        <f t="shared" si="148"/>
        <v>0</v>
      </c>
      <c r="T610" s="5">
        <f t="shared" si="148"/>
        <v>0</v>
      </c>
      <c r="U610" s="5">
        <f t="shared" si="148"/>
        <v>0</v>
      </c>
      <c r="V610" s="5">
        <f t="shared" si="148"/>
        <v>50</v>
      </c>
      <c r="W610" s="5">
        <f t="shared" si="148"/>
        <v>50</v>
      </c>
      <c r="X610" s="5">
        <f t="shared" si="148"/>
        <v>50</v>
      </c>
      <c r="Y610" s="5">
        <f t="shared" si="148"/>
        <v>0</v>
      </c>
      <c r="Z610" s="5">
        <f t="shared" si="148"/>
        <v>0</v>
      </c>
      <c r="AA610" s="5">
        <f t="shared" si="148"/>
        <v>0</v>
      </c>
      <c r="AB610" s="5">
        <f t="shared" si="148"/>
        <v>50</v>
      </c>
      <c r="AC610" s="5">
        <f t="shared" si="148"/>
        <v>50</v>
      </c>
      <c r="AD610" s="5">
        <f t="shared" si="148"/>
        <v>0</v>
      </c>
      <c r="AE610" s="5">
        <f t="shared" si="148"/>
        <v>0</v>
      </c>
      <c r="AF610" s="5">
        <f t="shared" si="148"/>
        <v>0</v>
      </c>
      <c r="AG610" s="5">
        <f t="shared" si="148"/>
        <v>50</v>
      </c>
      <c r="AH610" s="5">
        <f t="shared" si="148"/>
        <v>50</v>
      </c>
      <c r="AI610" s="5">
        <f t="shared" si="148"/>
        <v>0</v>
      </c>
      <c r="AJ610" s="5">
        <f t="shared" si="148"/>
        <v>0</v>
      </c>
      <c r="AK610" s="5">
        <f t="shared" si="148"/>
        <v>0</v>
      </c>
      <c r="AL610" s="5">
        <f t="shared" si="148"/>
        <v>50</v>
      </c>
      <c r="AM610" s="5">
        <f t="shared" si="148"/>
        <v>50</v>
      </c>
      <c r="AN610" s="5">
        <f t="shared" si="148"/>
        <v>0</v>
      </c>
      <c r="AO610" s="5">
        <f t="shared" si="148"/>
        <v>0</v>
      </c>
      <c r="AP610" s="5">
        <f t="shared" si="148"/>
        <v>0</v>
      </c>
      <c r="AQ610" s="5">
        <f t="shared" si="148"/>
        <v>50</v>
      </c>
    </row>
    <row r="611" spans="1:43" ht="35.450000000000003" customHeight="1">
      <c r="A611" s="292" t="s">
        <v>30</v>
      </c>
      <c r="B611" s="156"/>
      <c r="C611" s="131" t="s">
        <v>191</v>
      </c>
      <c r="D611" s="87" t="s">
        <v>819</v>
      </c>
      <c r="E611" s="87" t="s">
        <v>193</v>
      </c>
      <c r="F611" s="87"/>
      <c r="G611" s="87"/>
      <c r="H611" s="87"/>
      <c r="I611" s="85" t="s">
        <v>21</v>
      </c>
      <c r="J611" s="85" t="s">
        <v>820</v>
      </c>
      <c r="K611" s="86" t="s">
        <v>23</v>
      </c>
      <c r="L611" s="3"/>
      <c r="M611" s="87" t="s">
        <v>821</v>
      </c>
      <c r="N611" s="3">
        <f>V611</f>
        <v>50</v>
      </c>
      <c r="O611" s="3">
        <f>Q611+S611+U611+W611</f>
        <v>50</v>
      </c>
      <c r="P611" s="3"/>
      <c r="Q611" s="3"/>
      <c r="R611" s="3"/>
      <c r="S611" s="3"/>
      <c r="T611" s="3"/>
      <c r="U611" s="3"/>
      <c r="V611" s="3">
        <f>30+20</f>
        <v>50</v>
      </c>
      <c r="W611" s="3">
        <v>50</v>
      </c>
      <c r="X611" s="3">
        <f>AB611</f>
        <v>50</v>
      </c>
      <c r="Y611" s="3"/>
      <c r="Z611" s="3"/>
      <c r="AA611" s="3"/>
      <c r="AB611" s="3">
        <v>50</v>
      </c>
      <c r="AC611" s="3">
        <f>AG611</f>
        <v>50</v>
      </c>
      <c r="AD611" s="3"/>
      <c r="AE611" s="3"/>
      <c r="AF611" s="3"/>
      <c r="AG611" s="3">
        <v>50</v>
      </c>
      <c r="AH611" s="3">
        <f>AL611</f>
        <v>50</v>
      </c>
      <c r="AI611" s="3"/>
      <c r="AJ611" s="3"/>
      <c r="AK611" s="3"/>
      <c r="AL611" s="3">
        <v>50</v>
      </c>
      <c r="AM611" s="3">
        <f>AQ611</f>
        <v>50</v>
      </c>
      <c r="AN611" s="3"/>
      <c r="AO611" s="3"/>
      <c r="AP611" s="3"/>
      <c r="AQ611" s="3">
        <v>50</v>
      </c>
    </row>
    <row r="612" spans="1:43" ht="35.450000000000003" customHeight="1">
      <c r="A612" s="292"/>
      <c r="B612" s="156"/>
      <c r="C612" s="87"/>
      <c r="D612" s="87"/>
      <c r="E612" s="87"/>
      <c r="F612" s="87"/>
      <c r="G612" s="87"/>
      <c r="H612" s="87"/>
      <c r="I612" s="4" t="s">
        <v>822</v>
      </c>
      <c r="J612" s="85"/>
      <c r="K612" s="86"/>
      <c r="L612" s="3"/>
      <c r="M612" s="87"/>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row>
    <row r="613" spans="1:43" ht="35.450000000000003" customHeight="1">
      <c r="A613" s="293" t="s">
        <v>823</v>
      </c>
      <c r="B613" s="66">
        <v>2600</v>
      </c>
      <c r="C613" s="66" t="s">
        <v>8</v>
      </c>
      <c r="D613" s="66" t="s">
        <v>8</v>
      </c>
      <c r="E613" s="66" t="s">
        <v>8</v>
      </c>
      <c r="F613" s="66"/>
      <c r="G613" s="66"/>
      <c r="H613" s="66"/>
      <c r="I613" s="66" t="s">
        <v>8</v>
      </c>
      <c r="J613" s="66" t="s">
        <v>8</v>
      </c>
      <c r="K613" s="66" t="s">
        <v>8</v>
      </c>
      <c r="L613" s="66" t="s">
        <v>8</v>
      </c>
      <c r="M613" s="66" t="s">
        <v>8</v>
      </c>
      <c r="N613" s="126">
        <f t="shared" ref="N613:AQ613" si="149">N615+N661+N688+N690+N718+N714+N721+N725</f>
        <v>175953.89999999997</v>
      </c>
      <c r="O613" s="126">
        <f t="shared" si="149"/>
        <v>170139.99999999997</v>
      </c>
      <c r="P613" s="126">
        <f t="shared" si="149"/>
        <v>11287.5</v>
      </c>
      <c r="Q613" s="126">
        <f t="shared" si="149"/>
        <v>10755.599999999999</v>
      </c>
      <c r="R613" s="126">
        <f t="shared" si="149"/>
        <v>21951.399999999998</v>
      </c>
      <c r="S613" s="126">
        <f t="shared" si="149"/>
        <v>21034.3</v>
      </c>
      <c r="T613" s="126">
        <f t="shared" si="149"/>
        <v>0</v>
      </c>
      <c r="U613" s="126">
        <f t="shared" si="149"/>
        <v>0</v>
      </c>
      <c r="V613" s="126">
        <f t="shared" si="149"/>
        <v>142715</v>
      </c>
      <c r="W613" s="126">
        <f t="shared" si="149"/>
        <v>138350.1</v>
      </c>
      <c r="X613" s="126">
        <f t="shared" si="149"/>
        <v>204833.9</v>
      </c>
      <c r="Y613" s="126">
        <f t="shared" si="149"/>
        <v>12475.100000000002</v>
      </c>
      <c r="Z613" s="126">
        <f t="shared" si="149"/>
        <v>13920.499999999998</v>
      </c>
      <c r="AA613" s="126">
        <f t="shared" si="149"/>
        <v>0</v>
      </c>
      <c r="AB613" s="126">
        <f t="shared" si="149"/>
        <v>178438.3</v>
      </c>
      <c r="AC613" s="126">
        <f t="shared" si="149"/>
        <v>167538.10000000003</v>
      </c>
      <c r="AD613" s="126">
        <f t="shared" si="149"/>
        <v>11454.7</v>
      </c>
      <c r="AE613" s="126">
        <f t="shared" si="149"/>
        <v>6508.7999999999993</v>
      </c>
      <c r="AF613" s="126">
        <f t="shared" si="149"/>
        <v>0</v>
      </c>
      <c r="AG613" s="126">
        <f t="shared" si="149"/>
        <v>149574.60000000003</v>
      </c>
      <c r="AH613" s="126">
        <f t="shared" si="149"/>
        <v>166922.30000000005</v>
      </c>
      <c r="AI613" s="126">
        <f t="shared" si="149"/>
        <v>10548.1</v>
      </c>
      <c r="AJ613" s="126">
        <f t="shared" si="149"/>
        <v>6800.3</v>
      </c>
      <c r="AK613" s="126">
        <f t="shared" si="149"/>
        <v>0</v>
      </c>
      <c r="AL613" s="126">
        <f t="shared" si="149"/>
        <v>149573.90000000002</v>
      </c>
      <c r="AM613" s="126">
        <f t="shared" si="149"/>
        <v>166922.30000000005</v>
      </c>
      <c r="AN613" s="126">
        <f t="shared" si="149"/>
        <v>10548.1</v>
      </c>
      <c r="AO613" s="126">
        <f t="shared" si="149"/>
        <v>6800.3</v>
      </c>
      <c r="AP613" s="126">
        <f t="shared" si="149"/>
        <v>0</v>
      </c>
      <c r="AQ613" s="126">
        <f t="shared" si="149"/>
        <v>149573.90000000002</v>
      </c>
    </row>
    <row r="614" spans="1:43" ht="35.450000000000003" customHeight="1">
      <c r="A614" s="69" t="s">
        <v>10</v>
      </c>
      <c r="B614" s="70">
        <v>2601</v>
      </c>
      <c r="C614" s="71"/>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row>
    <row r="615" spans="1:43" ht="35.450000000000003" customHeight="1" thickBot="1">
      <c r="A615" s="76" t="s">
        <v>824</v>
      </c>
      <c r="B615" s="294"/>
      <c r="C615" s="78"/>
      <c r="D615" s="5"/>
      <c r="E615" s="5"/>
      <c r="F615" s="5"/>
      <c r="G615" s="5"/>
      <c r="H615" s="5"/>
      <c r="I615" s="5"/>
      <c r="J615" s="5"/>
      <c r="K615" s="5"/>
      <c r="L615" s="5">
        <v>1</v>
      </c>
      <c r="M615" s="5"/>
      <c r="N615" s="126">
        <f t="shared" ref="N615:W615" si="150">N616+N617+N618+N619+N620+N621+N622+N626+N627+N628+N629+N630+N631+N632+N633+N634+N639+N640+N641+N643+N645+N646+N647+N650+N651+N653+N656+N657+N660</f>
        <v>42222.799999999996</v>
      </c>
      <c r="O615" s="126">
        <f t="shared" si="150"/>
        <v>40435.100000000006</v>
      </c>
      <c r="P615" s="126">
        <f t="shared" si="150"/>
        <v>0</v>
      </c>
      <c r="Q615" s="126">
        <f t="shared" si="150"/>
        <v>0</v>
      </c>
      <c r="R615" s="126">
        <f t="shared" si="150"/>
        <v>1105.3</v>
      </c>
      <c r="S615" s="126">
        <f t="shared" si="150"/>
        <v>1105.3</v>
      </c>
      <c r="T615" s="126">
        <f t="shared" si="150"/>
        <v>0</v>
      </c>
      <c r="U615" s="126">
        <f t="shared" si="150"/>
        <v>0</v>
      </c>
      <c r="V615" s="126">
        <f t="shared" si="150"/>
        <v>41117.5</v>
      </c>
      <c r="W615" s="126">
        <f t="shared" si="150"/>
        <v>39329.799999999996</v>
      </c>
      <c r="X615" s="126">
        <f>X616+X617+X618+X619+X620+X621+X623+X624+X625+X626+X627+X628+X629+X630+X632+X633+X634+X639+X640+X641+X642+X643+X644+X645+X646+X647+X648+X649+X650+X651+X652+X653+X654+X655++X656+X657+X658+X660</f>
        <v>54025.500000000007</v>
      </c>
      <c r="Y615" s="126">
        <f t="shared" ref="Y615:AQ615" si="151">Y616+Y617+Y618+Y619+Y620+Y621+Y623+Y624+Y625+Y626+Y627+Y628+Y629+Y630+Y632+Y633+Y634+Y639+Y640+Y641+Y642+Y643+Y644+Y645+Y646+Y647+Y648+Y649+Y650+Y651+Y652+Y653+Y654+Y656+Y657+Y658+Y659+Y660+Y655</f>
        <v>0</v>
      </c>
      <c r="Z615" s="126">
        <f t="shared" si="151"/>
        <v>1432.4999999999998</v>
      </c>
      <c r="AA615" s="126">
        <f t="shared" si="151"/>
        <v>0</v>
      </c>
      <c r="AB615" s="126">
        <f t="shared" si="151"/>
        <v>52593.000000000007</v>
      </c>
      <c r="AC615" s="126">
        <f t="shared" si="151"/>
        <v>38798.299999999996</v>
      </c>
      <c r="AD615" s="126">
        <f t="shared" si="151"/>
        <v>0</v>
      </c>
      <c r="AE615" s="126">
        <f t="shared" si="151"/>
        <v>0</v>
      </c>
      <c r="AF615" s="126">
        <f t="shared" si="151"/>
        <v>0</v>
      </c>
      <c r="AG615" s="126">
        <f t="shared" si="151"/>
        <v>38798.299999999996</v>
      </c>
      <c r="AH615" s="126">
        <f t="shared" si="151"/>
        <v>38798.299999999996</v>
      </c>
      <c r="AI615" s="126">
        <f t="shared" si="151"/>
        <v>0</v>
      </c>
      <c r="AJ615" s="126">
        <f t="shared" si="151"/>
        <v>0</v>
      </c>
      <c r="AK615" s="126">
        <f t="shared" si="151"/>
        <v>0</v>
      </c>
      <c r="AL615" s="126">
        <f t="shared" si="151"/>
        <v>38798.299999999996</v>
      </c>
      <c r="AM615" s="126">
        <f t="shared" si="151"/>
        <v>38798.299999999996</v>
      </c>
      <c r="AN615" s="126">
        <f t="shared" si="151"/>
        <v>0</v>
      </c>
      <c r="AO615" s="126">
        <f t="shared" si="151"/>
        <v>0</v>
      </c>
      <c r="AP615" s="126">
        <f t="shared" si="151"/>
        <v>0</v>
      </c>
      <c r="AQ615" s="126">
        <f t="shared" si="151"/>
        <v>38798.299999999996</v>
      </c>
    </row>
    <row r="616" spans="1:43" ht="35.450000000000003" customHeight="1" thickBot="1">
      <c r="A616" s="193" t="s">
        <v>825</v>
      </c>
      <c r="B616" s="73"/>
      <c r="C616" s="106" t="s">
        <v>826</v>
      </c>
      <c r="D616" s="106" t="s">
        <v>827</v>
      </c>
      <c r="E616" s="106" t="s">
        <v>828</v>
      </c>
      <c r="F616" s="164" t="s">
        <v>829</v>
      </c>
      <c r="G616" s="295" t="s">
        <v>19</v>
      </c>
      <c r="H616" s="82" t="s">
        <v>20</v>
      </c>
      <c r="I616" s="85" t="s">
        <v>21</v>
      </c>
      <c r="J616" s="85"/>
      <c r="K616" s="86" t="s">
        <v>23</v>
      </c>
      <c r="L616" s="3"/>
      <c r="M616" s="87" t="s">
        <v>830</v>
      </c>
      <c r="N616" s="3">
        <f>P616+R616+T616+V616</f>
        <v>215.7</v>
      </c>
      <c r="O616" s="3">
        <f>Q616+S616+U616+W616</f>
        <v>215.7</v>
      </c>
      <c r="P616" s="3"/>
      <c r="Q616" s="3"/>
      <c r="R616" s="3">
        <v>17.3</v>
      </c>
      <c r="S616" s="3">
        <v>17.3</v>
      </c>
      <c r="T616" s="3"/>
      <c r="U616" s="3"/>
      <c r="V616" s="3">
        <f>175.6+20.5+15.2+4.4-17.3</f>
        <v>198.39999999999998</v>
      </c>
      <c r="W616" s="3">
        <f>215.7-17.3</f>
        <v>198.39999999999998</v>
      </c>
      <c r="X616" s="3">
        <f t="shared" ref="X616:X635" si="152">Y616+Z616+AA616+AB616</f>
        <v>248.2</v>
      </c>
      <c r="Y616" s="3"/>
      <c r="Z616" s="3"/>
      <c r="AA616" s="3"/>
      <c r="AB616" s="3">
        <f>229.7+13.9+4.6</f>
        <v>248.2</v>
      </c>
      <c r="AC616" s="3">
        <f t="shared" ref="AC616:AC622" si="153">AD616+AE616+AF616+AG616</f>
        <v>229.7</v>
      </c>
      <c r="AD616" s="3"/>
      <c r="AE616" s="3"/>
      <c r="AF616" s="3"/>
      <c r="AG616" s="3">
        <v>229.7</v>
      </c>
      <c r="AH616" s="3">
        <f t="shared" ref="AH616:AH622" si="154">AI616+AJ616+AK616+AL616</f>
        <v>229.7</v>
      </c>
      <c r="AI616" s="3"/>
      <c r="AJ616" s="3"/>
      <c r="AK616" s="3"/>
      <c r="AL616" s="3">
        <v>229.7</v>
      </c>
      <c r="AM616" s="3">
        <f>AN616+AO616+AP616+AQ616</f>
        <v>229.7</v>
      </c>
      <c r="AN616" s="3"/>
      <c r="AO616" s="3"/>
      <c r="AP616" s="3"/>
      <c r="AQ616" s="3">
        <v>229.7</v>
      </c>
    </row>
    <row r="617" spans="1:43" ht="35.450000000000003" customHeight="1" thickBot="1">
      <c r="A617" s="193" t="s">
        <v>825</v>
      </c>
      <c r="B617" s="73"/>
      <c r="C617" s="111"/>
      <c r="D617" s="111"/>
      <c r="E617" s="111"/>
      <c r="F617" s="296"/>
      <c r="G617" s="166"/>
      <c r="H617" s="166"/>
      <c r="I617" s="135"/>
      <c r="J617" s="297"/>
      <c r="K617" s="298"/>
      <c r="L617" s="3"/>
      <c r="M617" s="87" t="s">
        <v>831</v>
      </c>
      <c r="N617" s="3">
        <f>P617+R617+T617+V617</f>
        <v>1407.8999999999999</v>
      </c>
      <c r="O617" s="3">
        <f t="shared" ref="O617:O660" si="155">Q617+S617+U617+W617</f>
        <v>1404.9</v>
      </c>
      <c r="P617" s="3"/>
      <c r="Q617" s="3"/>
      <c r="R617" s="3"/>
      <c r="S617" s="3"/>
      <c r="T617" s="3"/>
      <c r="U617" s="3"/>
      <c r="V617" s="3">
        <f>967.6+74+200+155+11.3</f>
        <v>1407.8999999999999</v>
      </c>
      <c r="W617" s="3">
        <v>1404.9</v>
      </c>
      <c r="X617" s="3">
        <f t="shared" si="152"/>
        <v>1983</v>
      </c>
      <c r="Y617" s="3"/>
      <c r="Z617" s="3"/>
      <c r="AA617" s="3"/>
      <c r="AB617" s="3">
        <f>1568+415</f>
        <v>1983</v>
      </c>
      <c r="AC617" s="3">
        <f t="shared" si="153"/>
        <v>1208</v>
      </c>
      <c r="AD617" s="3"/>
      <c r="AE617" s="3"/>
      <c r="AF617" s="3"/>
      <c r="AG617" s="3">
        <v>1208</v>
      </c>
      <c r="AH617" s="3">
        <f t="shared" si="154"/>
        <v>1208</v>
      </c>
      <c r="AI617" s="3"/>
      <c r="AJ617" s="3"/>
      <c r="AK617" s="3"/>
      <c r="AL617" s="3">
        <v>1208</v>
      </c>
      <c r="AM617" s="3">
        <f>AN617+AO617+AP617+AQ617</f>
        <v>1208</v>
      </c>
      <c r="AN617" s="3"/>
      <c r="AO617" s="3"/>
      <c r="AP617" s="3"/>
      <c r="AQ617" s="3">
        <v>1208</v>
      </c>
    </row>
    <row r="618" spans="1:43" ht="35.450000000000003" customHeight="1" thickBot="1">
      <c r="A618" s="193" t="s">
        <v>825</v>
      </c>
      <c r="B618" s="73"/>
      <c r="C618" s="111"/>
      <c r="D618" s="111"/>
      <c r="E618" s="111"/>
      <c r="F618" s="296"/>
      <c r="G618" s="166"/>
      <c r="H618" s="166"/>
      <c r="I618" s="130"/>
      <c r="J618" s="299"/>
      <c r="K618" s="300"/>
      <c r="L618" s="3"/>
      <c r="M618" s="87" t="s">
        <v>832</v>
      </c>
      <c r="N618" s="3">
        <f>P618+R618+T618+V618</f>
        <v>0</v>
      </c>
      <c r="O618" s="3">
        <f t="shared" si="155"/>
        <v>0</v>
      </c>
      <c r="P618" s="3"/>
      <c r="Q618" s="3"/>
      <c r="R618" s="3"/>
      <c r="S618" s="3"/>
      <c r="T618" s="3"/>
      <c r="U618" s="3"/>
      <c r="V618" s="3">
        <f>11.3-11.3</f>
        <v>0</v>
      </c>
      <c r="W618" s="3"/>
      <c r="X618" s="3">
        <f t="shared" si="152"/>
        <v>0</v>
      </c>
      <c r="Y618" s="3"/>
      <c r="Z618" s="3"/>
      <c r="AA618" s="3"/>
      <c r="AB618" s="3">
        <v>0</v>
      </c>
      <c r="AC618" s="3">
        <f t="shared" si="153"/>
        <v>0</v>
      </c>
      <c r="AD618" s="3"/>
      <c r="AE618" s="3"/>
      <c r="AF618" s="3"/>
      <c r="AG618" s="3"/>
      <c r="AH618" s="3">
        <f t="shared" si="154"/>
        <v>0</v>
      </c>
      <c r="AI618" s="3"/>
      <c r="AJ618" s="3"/>
      <c r="AK618" s="3"/>
      <c r="AL618" s="3">
        <v>0</v>
      </c>
      <c r="AM618" s="3">
        <f>AN618+AO618+AP618+AQ618</f>
        <v>0</v>
      </c>
      <c r="AN618" s="3"/>
      <c r="AO618" s="3"/>
      <c r="AP618" s="3"/>
      <c r="AQ618" s="3">
        <v>0</v>
      </c>
    </row>
    <row r="619" spans="1:43" ht="35.450000000000003" customHeight="1" thickBot="1">
      <c r="A619" s="193" t="s">
        <v>825</v>
      </c>
      <c r="B619" s="73"/>
      <c r="C619" s="111"/>
      <c r="D619" s="111"/>
      <c r="E619" s="111"/>
      <c r="F619" s="296"/>
      <c r="G619" s="166"/>
      <c r="H619" s="166"/>
      <c r="I619" s="130"/>
      <c r="J619" s="299"/>
      <c r="K619" s="300"/>
      <c r="L619" s="3"/>
      <c r="M619" s="87" t="s">
        <v>833</v>
      </c>
      <c r="N619" s="3"/>
      <c r="O619" s="3">
        <f t="shared" si="155"/>
        <v>0</v>
      </c>
      <c r="P619" s="3"/>
      <c r="Q619" s="3"/>
      <c r="R619" s="3"/>
      <c r="S619" s="3"/>
      <c r="T619" s="3"/>
      <c r="U619" s="3"/>
      <c r="V619" s="3"/>
      <c r="W619" s="3"/>
      <c r="X619" s="3">
        <f t="shared" si="152"/>
        <v>0</v>
      </c>
      <c r="Y619" s="3"/>
      <c r="Z619" s="3"/>
      <c r="AA619" s="3"/>
      <c r="AB619" s="3">
        <f>11.3-11.3</f>
        <v>0</v>
      </c>
      <c r="AC619" s="3">
        <f t="shared" si="153"/>
        <v>11.3</v>
      </c>
      <c r="AD619" s="3"/>
      <c r="AE619" s="3"/>
      <c r="AF619" s="3"/>
      <c r="AG619" s="3">
        <v>11.3</v>
      </c>
      <c r="AH619" s="3">
        <f t="shared" si="154"/>
        <v>11.3</v>
      </c>
      <c r="AI619" s="3"/>
      <c r="AJ619" s="3"/>
      <c r="AK619" s="3"/>
      <c r="AL619" s="3">
        <v>11.3</v>
      </c>
      <c r="AM619" s="3">
        <f>AN619+AO619+AP619+AQ619</f>
        <v>11.3</v>
      </c>
      <c r="AN619" s="3"/>
      <c r="AO619" s="3"/>
      <c r="AP619" s="3"/>
      <c r="AQ619" s="3">
        <v>11.3</v>
      </c>
    </row>
    <row r="620" spans="1:43" ht="35.450000000000003" customHeight="1" thickBot="1">
      <c r="A620" s="193" t="s">
        <v>825</v>
      </c>
      <c r="B620" s="73"/>
      <c r="C620" s="111"/>
      <c r="D620" s="111"/>
      <c r="E620" s="111"/>
      <c r="F620" s="296"/>
      <c r="G620" s="166"/>
      <c r="H620" s="166"/>
      <c r="I620" s="130"/>
      <c r="J620" s="299"/>
      <c r="K620" s="300"/>
      <c r="L620" s="3"/>
      <c r="M620" s="87" t="s">
        <v>834</v>
      </c>
      <c r="N620" s="3">
        <f>P620+R620+T620+V620</f>
        <v>557</v>
      </c>
      <c r="O620" s="3">
        <f t="shared" si="155"/>
        <v>554.5</v>
      </c>
      <c r="P620" s="3"/>
      <c r="Q620" s="3"/>
      <c r="R620" s="3">
        <v>17.399999999999999</v>
      </c>
      <c r="S620" s="3">
        <v>17.399999999999999</v>
      </c>
      <c r="T620" s="3"/>
      <c r="U620" s="3"/>
      <c r="V620" s="3">
        <f>450.8+23.6+78.3+4.3-17.4</f>
        <v>539.6</v>
      </c>
      <c r="W620" s="3">
        <f>554.5-17.4</f>
        <v>537.1</v>
      </c>
      <c r="X620" s="3">
        <f t="shared" si="152"/>
        <v>741.6</v>
      </c>
      <c r="Y620" s="3"/>
      <c r="Z620" s="3"/>
      <c r="AA620" s="3"/>
      <c r="AB620" s="3">
        <f>551.5+13.9+162.6+4.6+9</f>
        <v>741.6</v>
      </c>
      <c r="AC620" s="3">
        <f t="shared" si="153"/>
        <v>551.5</v>
      </c>
      <c r="AD620" s="3"/>
      <c r="AE620" s="3"/>
      <c r="AF620" s="3"/>
      <c r="AG620" s="3">
        <v>551.5</v>
      </c>
      <c r="AH620" s="3">
        <f t="shared" si="154"/>
        <v>551.5</v>
      </c>
      <c r="AI620" s="3"/>
      <c r="AJ620" s="3"/>
      <c r="AK620" s="3"/>
      <c r="AL620" s="3">
        <v>551.5</v>
      </c>
      <c r="AM620" s="3">
        <f t="shared" ref="AM620:AM630" si="156">AN620+AO620+AP620+AQ620</f>
        <v>551.5</v>
      </c>
      <c r="AN620" s="3"/>
      <c r="AO620" s="3"/>
      <c r="AP620" s="3"/>
      <c r="AQ620" s="3">
        <v>551.5</v>
      </c>
    </row>
    <row r="621" spans="1:43" ht="35.450000000000003" customHeight="1" thickBot="1">
      <c r="A621" s="193" t="s">
        <v>825</v>
      </c>
      <c r="B621" s="73"/>
      <c r="C621" s="111"/>
      <c r="D621" s="111"/>
      <c r="E621" s="111"/>
      <c r="F621" s="301"/>
      <c r="G621" s="168"/>
      <c r="H621" s="168"/>
      <c r="I621" s="130"/>
      <c r="J621" s="299"/>
      <c r="K621" s="300"/>
      <c r="L621" s="3"/>
      <c r="M621" s="87" t="s">
        <v>835</v>
      </c>
      <c r="N621" s="3">
        <f>P621+R621+T621+V621</f>
        <v>133.5</v>
      </c>
      <c r="O621" s="3">
        <f t="shared" si="155"/>
        <v>133.5</v>
      </c>
      <c r="P621" s="3"/>
      <c r="Q621" s="3"/>
      <c r="R621" s="3">
        <v>17.3</v>
      </c>
      <c r="S621" s="3">
        <v>17.3</v>
      </c>
      <c r="T621" s="3"/>
      <c r="U621" s="3"/>
      <c r="V621" s="3">
        <f>94.6+17.4+17.1+4.4-17.3</f>
        <v>116.2</v>
      </c>
      <c r="W621" s="3">
        <f>133.5-17.3</f>
        <v>116.2</v>
      </c>
      <c r="X621" s="3">
        <f t="shared" si="152"/>
        <v>150.30000000000001</v>
      </c>
      <c r="Y621" s="3"/>
      <c r="Z621" s="3"/>
      <c r="AA621" s="3"/>
      <c r="AB621" s="3">
        <f>130.5+13.9+4.6+1.3</f>
        <v>150.30000000000001</v>
      </c>
      <c r="AC621" s="3">
        <f t="shared" si="153"/>
        <v>130.5</v>
      </c>
      <c r="AD621" s="3"/>
      <c r="AE621" s="3"/>
      <c r="AF621" s="3"/>
      <c r="AG621" s="3">
        <v>130.5</v>
      </c>
      <c r="AH621" s="3">
        <f t="shared" si="154"/>
        <v>130.5</v>
      </c>
      <c r="AI621" s="3"/>
      <c r="AJ621" s="3"/>
      <c r="AK621" s="3"/>
      <c r="AL621" s="3">
        <v>130.5</v>
      </c>
      <c r="AM621" s="3">
        <f t="shared" si="156"/>
        <v>130.5</v>
      </c>
      <c r="AN621" s="3"/>
      <c r="AO621" s="3"/>
      <c r="AP621" s="3"/>
      <c r="AQ621" s="3">
        <v>130.5</v>
      </c>
    </row>
    <row r="622" spans="1:43" ht="35.450000000000003" customHeight="1" thickBot="1">
      <c r="A622" s="193" t="s">
        <v>825</v>
      </c>
      <c r="B622" s="73"/>
      <c r="C622" s="302" t="s">
        <v>836</v>
      </c>
      <c r="D622" s="303" t="s">
        <v>19</v>
      </c>
      <c r="E622" s="304" t="s">
        <v>837</v>
      </c>
      <c r="F622" s="305" t="s">
        <v>838</v>
      </c>
      <c r="G622" s="295" t="s">
        <v>19</v>
      </c>
      <c r="H622" s="164" t="s">
        <v>49</v>
      </c>
      <c r="I622" s="130"/>
      <c r="J622" s="299"/>
      <c r="K622" s="300"/>
      <c r="L622" s="3"/>
      <c r="M622" s="87"/>
      <c r="N622" s="3">
        <f>P622+R622+T622+V622</f>
        <v>0</v>
      </c>
      <c r="O622" s="3">
        <f t="shared" si="155"/>
        <v>0</v>
      </c>
      <c r="P622" s="3"/>
      <c r="Q622" s="3"/>
      <c r="R622" s="3"/>
      <c r="S622" s="3"/>
      <c r="T622" s="3"/>
      <c r="U622" s="3"/>
      <c r="V622" s="3">
        <v>0</v>
      </c>
      <c r="W622" s="3"/>
      <c r="X622" s="3">
        <f t="shared" si="152"/>
        <v>0</v>
      </c>
      <c r="Y622" s="3"/>
      <c r="Z622" s="3"/>
      <c r="AA622" s="3"/>
      <c r="AB622" s="3">
        <v>0</v>
      </c>
      <c r="AC622" s="3">
        <f t="shared" si="153"/>
        <v>0</v>
      </c>
      <c r="AD622" s="3"/>
      <c r="AE622" s="3"/>
      <c r="AF622" s="3"/>
      <c r="AG622" s="3">
        <v>0</v>
      </c>
      <c r="AH622" s="3">
        <f t="shared" si="154"/>
        <v>0</v>
      </c>
      <c r="AI622" s="3"/>
      <c r="AJ622" s="3"/>
      <c r="AK622" s="3"/>
      <c r="AL622" s="3">
        <v>0</v>
      </c>
      <c r="AM622" s="3">
        <f t="shared" si="156"/>
        <v>0</v>
      </c>
      <c r="AN622" s="3"/>
      <c r="AO622" s="3"/>
      <c r="AP622" s="3"/>
      <c r="AQ622" s="3">
        <v>0</v>
      </c>
    </row>
    <row r="623" spans="1:43" ht="35.450000000000003" customHeight="1" thickBot="1">
      <c r="A623" s="193" t="s">
        <v>825</v>
      </c>
      <c r="B623" s="73"/>
      <c r="C623" s="306"/>
      <c r="D623" s="307"/>
      <c r="E623" s="308"/>
      <c r="F623" s="166"/>
      <c r="G623" s="166"/>
      <c r="H623" s="166"/>
      <c r="I623" s="139"/>
      <c r="J623" s="309"/>
      <c r="K623" s="310"/>
      <c r="L623" s="3"/>
      <c r="M623" s="87" t="s">
        <v>839</v>
      </c>
      <c r="N623" s="3"/>
      <c r="O623" s="3"/>
      <c r="P623" s="3"/>
      <c r="Q623" s="3"/>
      <c r="R623" s="3"/>
      <c r="S623" s="3"/>
      <c r="T623" s="3"/>
      <c r="U623" s="3"/>
      <c r="V623" s="3"/>
      <c r="W623" s="3"/>
      <c r="X623" s="3">
        <f t="shared" si="152"/>
        <v>65.699999999999989</v>
      </c>
      <c r="Y623" s="3"/>
      <c r="Z623" s="3">
        <f>43.8+19.3+2.6</f>
        <v>65.699999999999989</v>
      </c>
      <c r="AA623" s="3"/>
      <c r="AB623" s="3"/>
      <c r="AC623" s="3"/>
      <c r="AD623" s="3"/>
      <c r="AE623" s="3"/>
      <c r="AF623" s="3"/>
      <c r="AG623" s="3"/>
      <c r="AH623" s="3"/>
      <c r="AI623" s="3"/>
      <c r="AJ623" s="3"/>
      <c r="AK623" s="3"/>
      <c r="AL623" s="3"/>
      <c r="AM623" s="3"/>
      <c r="AN623" s="3"/>
      <c r="AO623" s="3"/>
      <c r="AP623" s="3"/>
      <c r="AQ623" s="3"/>
    </row>
    <row r="624" spans="1:43" ht="35.450000000000003" customHeight="1" thickBot="1">
      <c r="A624" s="193" t="s">
        <v>30</v>
      </c>
      <c r="B624" s="73"/>
      <c r="C624" s="311"/>
      <c r="D624" s="307"/>
      <c r="E624" s="308"/>
      <c r="F624" s="166"/>
      <c r="G624" s="166"/>
      <c r="H624" s="166"/>
      <c r="I624" s="87" t="s">
        <v>840</v>
      </c>
      <c r="J624" s="312"/>
      <c r="K624" s="313"/>
      <c r="L624" s="3"/>
      <c r="M624" s="87" t="s">
        <v>841</v>
      </c>
      <c r="N624" s="3"/>
      <c r="O624" s="3"/>
      <c r="P624" s="3"/>
      <c r="Q624" s="3"/>
      <c r="R624" s="3"/>
      <c r="S624" s="3"/>
      <c r="T624" s="3"/>
      <c r="U624" s="3"/>
      <c r="V624" s="3"/>
      <c r="W624" s="3"/>
      <c r="X624" s="3">
        <f t="shared" si="152"/>
        <v>71</v>
      </c>
      <c r="Y624" s="3"/>
      <c r="Z624" s="3">
        <f>58.3+12.7</f>
        <v>71</v>
      </c>
      <c r="AA624" s="3"/>
      <c r="AB624" s="3"/>
      <c r="AC624" s="3"/>
      <c r="AD624" s="3"/>
      <c r="AE624" s="3"/>
      <c r="AF624" s="3"/>
      <c r="AG624" s="3"/>
      <c r="AH624" s="3"/>
      <c r="AI624" s="3"/>
      <c r="AJ624" s="3"/>
      <c r="AK624" s="3"/>
      <c r="AL624" s="3"/>
      <c r="AM624" s="3"/>
      <c r="AN624" s="3"/>
      <c r="AO624" s="3"/>
      <c r="AP624" s="3"/>
      <c r="AQ624" s="3"/>
    </row>
    <row r="625" spans="1:43" ht="35.450000000000003" customHeight="1" thickBot="1">
      <c r="A625" s="193" t="s">
        <v>30</v>
      </c>
      <c r="B625" s="73"/>
      <c r="C625" s="311"/>
      <c r="D625" s="307"/>
      <c r="E625" s="308"/>
      <c r="F625" s="166"/>
      <c r="G625" s="166"/>
      <c r="H625" s="166"/>
      <c r="I625" s="314" t="s">
        <v>842</v>
      </c>
      <c r="J625" s="64" t="s">
        <v>843</v>
      </c>
      <c r="K625" s="223" t="s">
        <v>844</v>
      </c>
      <c r="L625" s="3"/>
      <c r="M625" s="87" t="s">
        <v>845</v>
      </c>
      <c r="N625" s="3"/>
      <c r="O625" s="3"/>
      <c r="P625" s="3"/>
      <c r="Q625" s="3"/>
      <c r="R625" s="3"/>
      <c r="S625" s="3"/>
      <c r="T625" s="3"/>
      <c r="U625" s="3"/>
      <c r="V625" s="3"/>
      <c r="W625" s="3"/>
      <c r="X625" s="3">
        <f t="shared" si="152"/>
        <v>641.9</v>
      </c>
      <c r="Y625" s="3"/>
      <c r="Z625" s="3">
        <v>641.9</v>
      </c>
      <c r="AA625" s="3"/>
      <c r="AB625" s="3"/>
      <c r="AC625" s="3"/>
      <c r="AD625" s="3"/>
      <c r="AE625" s="3"/>
      <c r="AF625" s="3"/>
      <c r="AG625" s="3"/>
      <c r="AH625" s="3"/>
      <c r="AI625" s="3"/>
      <c r="AJ625" s="3"/>
      <c r="AK625" s="3"/>
      <c r="AL625" s="3"/>
      <c r="AM625" s="3"/>
      <c r="AN625" s="3"/>
      <c r="AO625" s="3"/>
      <c r="AP625" s="3"/>
      <c r="AQ625" s="3"/>
    </row>
    <row r="626" spans="1:43" ht="35.450000000000003" customHeight="1" thickBot="1">
      <c r="A626" s="193" t="s">
        <v>30</v>
      </c>
      <c r="B626" s="73"/>
      <c r="C626" s="311"/>
      <c r="D626" s="307"/>
      <c r="E626" s="308"/>
      <c r="F626" s="168"/>
      <c r="G626" s="168"/>
      <c r="H626" s="168"/>
      <c r="I626" s="314"/>
      <c r="J626" s="64"/>
      <c r="K626" s="223"/>
      <c r="L626" s="3"/>
      <c r="M626" s="87" t="s">
        <v>846</v>
      </c>
      <c r="N626" s="3"/>
      <c r="O626" s="3">
        <f t="shared" si="155"/>
        <v>0</v>
      </c>
      <c r="P626" s="3"/>
      <c r="Q626" s="3"/>
      <c r="R626" s="3"/>
      <c r="S626" s="3"/>
      <c r="T626" s="3"/>
      <c r="U626" s="3"/>
      <c r="V626" s="3"/>
      <c r="W626" s="3"/>
      <c r="X626" s="3">
        <f t="shared" si="152"/>
        <v>134.30000000000001</v>
      </c>
      <c r="Y626" s="3"/>
      <c r="Z626" s="3">
        <f>189-54.7</f>
        <v>134.30000000000001</v>
      </c>
      <c r="AA626" s="3"/>
      <c r="AB626" s="3"/>
      <c r="AC626" s="3"/>
      <c r="AD626" s="3"/>
      <c r="AE626" s="3"/>
      <c r="AF626" s="3"/>
      <c r="AG626" s="3"/>
      <c r="AH626" s="3"/>
      <c r="AI626" s="3"/>
      <c r="AJ626" s="3"/>
      <c r="AK626" s="3"/>
      <c r="AL626" s="3"/>
      <c r="AM626" s="3"/>
      <c r="AN626" s="3"/>
      <c r="AO626" s="3"/>
      <c r="AP626" s="3"/>
      <c r="AQ626" s="3"/>
    </row>
    <row r="627" spans="1:43" ht="35.450000000000003" customHeight="1" thickBot="1">
      <c r="A627" s="193" t="s">
        <v>30</v>
      </c>
      <c r="B627" s="73"/>
      <c r="C627" s="315"/>
      <c r="D627" s="267"/>
      <c r="E627" s="315"/>
      <c r="F627" s="64"/>
      <c r="G627" s="64"/>
      <c r="H627" s="64"/>
      <c r="I627" s="314"/>
      <c r="J627" s="64"/>
      <c r="K627" s="223"/>
      <c r="L627" s="3"/>
      <c r="M627" s="64" t="s">
        <v>847</v>
      </c>
      <c r="N627" s="3">
        <f t="shared" ref="N627:N634" si="157">P627+R627+T627+V627</f>
        <v>816.7</v>
      </c>
      <c r="O627" s="3">
        <f t="shared" si="155"/>
        <v>816.7</v>
      </c>
      <c r="P627" s="3"/>
      <c r="Q627" s="3"/>
      <c r="R627" s="3">
        <v>17.5</v>
      </c>
      <c r="S627" s="3">
        <v>17.5</v>
      </c>
      <c r="T627" s="3"/>
      <c r="U627" s="3"/>
      <c r="V627" s="3">
        <f>694.2+37.3+24+18.2+40+4.3-1.3-17.5</f>
        <v>799.2</v>
      </c>
      <c r="W627" s="3">
        <f>816.7-17.5</f>
        <v>799.2</v>
      </c>
      <c r="X627" s="3">
        <f t="shared" si="152"/>
        <v>1183.5999999999999</v>
      </c>
      <c r="Y627" s="3"/>
      <c r="Z627" s="3"/>
      <c r="AA627" s="3"/>
      <c r="AB627" s="3">
        <f>375+808.6</f>
        <v>1183.5999999999999</v>
      </c>
      <c r="AC627" s="3">
        <f>AD627+AE627+AF627+AG627</f>
        <v>653.20000000000005</v>
      </c>
      <c r="AD627" s="3"/>
      <c r="AE627" s="3"/>
      <c r="AF627" s="3"/>
      <c r="AG627" s="3">
        <v>653.20000000000005</v>
      </c>
      <c r="AH627" s="3">
        <f t="shared" ref="AH627:AH634" si="158">AI627+AJ627+AK627+AL627</f>
        <v>653.20000000000005</v>
      </c>
      <c r="AI627" s="3"/>
      <c r="AJ627" s="3"/>
      <c r="AK627" s="3"/>
      <c r="AL627" s="3">
        <v>653.20000000000005</v>
      </c>
      <c r="AM627" s="3">
        <f t="shared" si="156"/>
        <v>653.20000000000005</v>
      </c>
      <c r="AN627" s="3"/>
      <c r="AO627" s="3"/>
      <c r="AP627" s="3"/>
      <c r="AQ627" s="3">
        <v>653.20000000000005</v>
      </c>
    </row>
    <row r="628" spans="1:43" ht="35.450000000000003" customHeight="1" thickBot="1">
      <c r="A628" s="193" t="s">
        <v>30</v>
      </c>
      <c r="B628" s="73"/>
      <c r="C628" s="315"/>
      <c r="D628" s="267"/>
      <c r="E628" s="315"/>
      <c r="F628" s="122"/>
      <c r="G628" s="3"/>
      <c r="H628" s="3"/>
      <c r="I628" s="314"/>
      <c r="J628" s="64"/>
      <c r="K628" s="223"/>
      <c r="L628" s="3"/>
      <c r="M628" s="64" t="s">
        <v>848</v>
      </c>
      <c r="N628" s="3">
        <f t="shared" si="157"/>
        <v>8000.5</v>
      </c>
      <c r="O628" s="3">
        <f t="shared" si="155"/>
        <v>7725.9</v>
      </c>
      <c r="P628" s="3"/>
      <c r="Q628" s="3"/>
      <c r="R628" s="3">
        <v>404.4</v>
      </c>
      <c r="S628" s="3">
        <v>404.4</v>
      </c>
      <c r="T628" s="3"/>
      <c r="U628" s="3"/>
      <c r="V628" s="3">
        <f>6601.4+859.1+360+30+150-404.4</f>
        <v>7596.1</v>
      </c>
      <c r="W628" s="3">
        <f>7725.9-404.4</f>
        <v>7321.5</v>
      </c>
      <c r="X628" s="3">
        <f t="shared" si="152"/>
        <v>8770.6</v>
      </c>
      <c r="Y628" s="3"/>
      <c r="Z628" s="3"/>
      <c r="AA628" s="3"/>
      <c r="AB628" s="3">
        <f>6281.5+100+150+139.2+2099.9</f>
        <v>8770.6</v>
      </c>
      <c r="AC628" s="3">
        <f>AD628+AE628+AF628+AG628</f>
        <v>5864</v>
      </c>
      <c r="AD628" s="3"/>
      <c r="AE628" s="3"/>
      <c r="AF628" s="3"/>
      <c r="AG628" s="3">
        <v>5864</v>
      </c>
      <c r="AH628" s="3">
        <f t="shared" si="158"/>
        <v>5864</v>
      </c>
      <c r="AI628" s="3"/>
      <c r="AJ628" s="3"/>
      <c r="AK628" s="3"/>
      <c r="AL628" s="3">
        <v>5864</v>
      </c>
      <c r="AM628" s="3">
        <f t="shared" si="156"/>
        <v>5864</v>
      </c>
      <c r="AN628" s="3"/>
      <c r="AO628" s="3"/>
      <c r="AP628" s="3"/>
      <c r="AQ628" s="3">
        <v>5864</v>
      </c>
    </row>
    <row r="629" spans="1:43" ht="35.450000000000003" customHeight="1" thickBot="1">
      <c r="A629" s="193" t="s">
        <v>30</v>
      </c>
      <c r="B629" s="73"/>
      <c r="C629" s="315"/>
      <c r="D629" s="267"/>
      <c r="E629" s="315"/>
      <c r="F629" s="87"/>
      <c r="G629" s="3"/>
      <c r="H629" s="3"/>
      <c r="I629" s="87"/>
      <c r="J629" s="3"/>
      <c r="K629" s="3"/>
      <c r="L629" s="3"/>
      <c r="M629" s="87" t="s">
        <v>849</v>
      </c>
      <c r="N629" s="3">
        <f t="shared" si="157"/>
        <v>11521</v>
      </c>
      <c r="O629" s="3">
        <f t="shared" si="155"/>
        <v>11048.8</v>
      </c>
      <c r="P629" s="3"/>
      <c r="Q629" s="3"/>
      <c r="R629" s="3"/>
      <c r="S629" s="3"/>
      <c r="T629" s="3"/>
      <c r="U629" s="3"/>
      <c r="V629" s="3">
        <f>8779.1+240+350+692.9+1260+68-400+121+220+190</f>
        <v>11521</v>
      </c>
      <c r="W629" s="3">
        <v>11048.8</v>
      </c>
      <c r="X629" s="3">
        <f t="shared" si="152"/>
        <v>17025.2</v>
      </c>
      <c r="Y629" s="3"/>
      <c r="Z629" s="3"/>
      <c r="AA629" s="3"/>
      <c r="AB629" s="3">
        <f>8920.6+3579+435.9+75-100+345.5+1080.6+180+136.5+300+1822.1+250</f>
        <v>17025.2</v>
      </c>
      <c r="AC629" s="3">
        <f>AD629+AE629+AF629+AG629</f>
        <v>9728.4</v>
      </c>
      <c r="AD629" s="3"/>
      <c r="AE629" s="3"/>
      <c r="AF629" s="3"/>
      <c r="AG629" s="3">
        <v>9728.4</v>
      </c>
      <c r="AH629" s="3">
        <f t="shared" si="158"/>
        <v>9728.4</v>
      </c>
      <c r="AI629" s="3"/>
      <c r="AJ629" s="3"/>
      <c r="AK629" s="3"/>
      <c r="AL629" s="3">
        <v>9728.4</v>
      </c>
      <c r="AM629" s="3">
        <f t="shared" si="156"/>
        <v>9728.4</v>
      </c>
      <c r="AN629" s="3"/>
      <c r="AO629" s="3"/>
      <c r="AP629" s="3"/>
      <c r="AQ629" s="3">
        <v>9728.4</v>
      </c>
    </row>
    <row r="630" spans="1:43" ht="35.450000000000003" customHeight="1" thickBot="1">
      <c r="A630" s="193" t="s">
        <v>30</v>
      </c>
      <c r="B630" s="73"/>
      <c r="C630" s="315"/>
      <c r="D630" s="267"/>
      <c r="E630" s="315"/>
      <c r="F630" s="87"/>
      <c r="G630" s="3"/>
      <c r="H630" s="3"/>
      <c r="I630" s="87"/>
      <c r="J630" s="3"/>
      <c r="K630" s="3"/>
      <c r="L630" s="3"/>
      <c r="M630" s="87" t="s">
        <v>850</v>
      </c>
      <c r="N630" s="3">
        <f t="shared" si="157"/>
        <v>6500</v>
      </c>
      <c r="O630" s="3">
        <f t="shared" si="155"/>
        <v>5707.4</v>
      </c>
      <c r="P630" s="3"/>
      <c r="Q630" s="3"/>
      <c r="R630" s="3"/>
      <c r="S630" s="3"/>
      <c r="T630" s="3"/>
      <c r="U630" s="3"/>
      <c r="V630" s="3">
        <f>6100+400</f>
        <v>6500</v>
      </c>
      <c r="W630" s="3">
        <v>5707.4</v>
      </c>
      <c r="X630" s="3">
        <f t="shared" si="152"/>
        <v>7100</v>
      </c>
      <c r="Y630" s="3"/>
      <c r="Z630" s="3"/>
      <c r="AA630" s="3"/>
      <c r="AB630" s="3">
        <f>7200-100</f>
        <v>7100</v>
      </c>
      <c r="AC630" s="3">
        <f>AD630+AE630+AF630+AG630</f>
        <v>8200</v>
      </c>
      <c r="AD630" s="3"/>
      <c r="AE630" s="3"/>
      <c r="AF630" s="3"/>
      <c r="AG630" s="3">
        <v>8200</v>
      </c>
      <c r="AH630" s="3">
        <f t="shared" si="158"/>
        <v>8200</v>
      </c>
      <c r="AI630" s="3"/>
      <c r="AJ630" s="3"/>
      <c r="AK630" s="3"/>
      <c r="AL630" s="3">
        <v>8200</v>
      </c>
      <c r="AM630" s="3">
        <f t="shared" si="156"/>
        <v>8200</v>
      </c>
      <c r="AN630" s="3"/>
      <c r="AO630" s="3"/>
      <c r="AP630" s="3"/>
      <c r="AQ630" s="3">
        <v>8200</v>
      </c>
    </row>
    <row r="631" spans="1:43" ht="35.450000000000003" customHeight="1" thickBot="1">
      <c r="A631" s="193" t="s">
        <v>30</v>
      </c>
      <c r="B631" s="73"/>
      <c r="C631" s="315"/>
      <c r="D631" s="267"/>
      <c r="E631" s="315"/>
      <c r="F631" s="87"/>
      <c r="G631" s="3"/>
      <c r="H631" s="3"/>
      <c r="I631" s="87"/>
      <c r="J631" s="3"/>
      <c r="K631" s="3"/>
      <c r="L631" s="3"/>
      <c r="M631" s="87"/>
      <c r="N631" s="3">
        <f t="shared" si="157"/>
        <v>0</v>
      </c>
      <c r="O631" s="3">
        <f t="shared" si="155"/>
        <v>0</v>
      </c>
      <c r="P631" s="3"/>
      <c r="Q631" s="3"/>
      <c r="R631" s="3"/>
      <c r="S631" s="3"/>
      <c r="T631" s="3"/>
      <c r="U631" s="3"/>
      <c r="V631" s="3">
        <f>200-200</f>
        <v>0</v>
      </c>
      <c r="W631" s="3"/>
      <c r="X631" s="3"/>
      <c r="Y631" s="3"/>
      <c r="Z631" s="3"/>
      <c r="AA631" s="3"/>
      <c r="AB631" s="3"/>
      <c r="AC631" s="3"/>
      <c r="AD631" s="3"/>
      <c r="AE631" s="3"/>
      <c r="AF631" s="3"/>
      <c r="AG631" s="3"/>
      <c r="AH631" s="3"/>
      <c r="AI631" s="3"/>
      <c r="AJ631" s="3"/>
      <c r="AK631" s="3"/>
      <c r="AL631" s="3"/>
      <c r="AM631" s="3"/>
      <c r="AN631" s="3"/>
      <c r="AO631" s="3"/>
      <c r="AP631" s="3"/>
      <c r="AQ631" s="3"/>
    </row>
    <row r="632" spans="1:43" ht="35.450000000000003" customHeight="1" thickBot="1">
      <c r="A632" s="193" t="s">
        <v>30</v>
      </c>
      <c r="B632" s="73"/>
      <c r="C632" s="315"/>
      <c r="D632" s="267"/>
      <c r="E632" s="315"/>
      <c r="F632" s="87"/>
      <c r="G632" s="3"/>
      <c r="H632" s="3"/>
      <c r="I632" s="87"/>
      <c r="J632" s="3"/>
      <c r="K632" s="3"/>
      <c r="L632" s="3"/>
      <c r="M632" s="96" t="s">
        <v>851</v>
      </c>
      <c r="N632" s="3">
        <f t="shared" si="157"/>
        <v>1020.4000000000001</v>
      </c>
      <c r="O632" s="3">
        <f t="shared" si="155"/>
        <v>1020.4</v>
      </c>
      <c r="P632" s="3"/>
      <c r="Q632" s="3"/>
      <c r="R632" s="3"/>
      <c r="S632" s="3"/>
      <c r="T632" s="3"/>
      <c r="U632" s="3"/>
      <c r="V632" s="3">
        <f>15.3+71.4+5-0.1+66.8+51.5+105.8+650.2+23.9+30.6</f>
        <v>1020.4000000000001</v>
      </c>
      <c r="W632" s="3">
        <v>1020.4</v>
      </c>
      <c r="X632" s="3">
        <f t="shared" si="152"/>
        <v>1506.6999999999998</v>
      </c>
      <c r="Y632" s="3"/>
      <c r="Z632" s="3"/>
      <c r="AA632" s="3"/>
      <c r="AB632" s="3">
        <f>38.3+45+538.4+108+35+333.7+70.7+7.4+73.6+7.2+31.6-7.3+225.1</f>
        <v>1506.6999999999998</v>
      </c>
      <c r="AC632" s="3">
        <f>AD632+AE632+AF632+AG632</f>
        <v>20</v>
      </c>
      <c r="AD632" s="3"/>
      <c r="AE632" s="3"/>
      <c r="AF632" s="3"/>
      <c r="AG632" s="3">
        <v>20</v>
      </c>
      <c r="AH632" s="3">
        <f t="shared" si="158"/>
        <v>20</v>
      </c>
      <c r="AI632" s="3"/>
      <c r="AJ632" s="3"/>
      <c r="AK632" s="3"/>
      <c r="AL632" s="3">
        <v>20</v>
      </c>
      <c r="AM632" s="3">
        <f>AN632+AO632+AP632+AQ632</f>
        <v>20</v>
      </c>
      <c r="AN632" s="3"/>
      <c r="AO632" s="3"/>
      <c r="AP632" s="3"/>
      <c r="AQ632" s="3">
        <v>20</v>
      </c>
    </row>
    <row r="633" spans="1:43" ht="35.450000000000003" customHeight="1" thickBot="1">
      <c r="A633" s="193" t="s">
        <v>30</v>
      </c>
      <c r="B633" s="73"/>
      <c r="C633" s="315"/>
      <c r="D633" s="267"/>
      <c r="E633" s="315"/>
      <c r="F633" s="87"/>
      <c r="G633" s="3"/>
      <c r="H633" s="3"/>
      <c r="I633" s="87"/>
      <c r="J633" s="3"/>
      <c r="K633" s="3"/>
      <c r="L633" s="3"/>
      <c r="M633" s="87" t="s">
        <v>852</v>
      </c>
      <c r="N633" s="3">
        <f t="shared" si="157"/>
        <v>1063.3</v>
      </c>
      <c r="O633" s="3">
        <f t="shared" si="155"/>
        <v>1014.9</v>
      </c>
      <c r="P633" s="3"/>
      <c r="Q633" s="3"/>
      <c r="R633" s="3"/>
      <c r="S633" s="3"/>
      <c r="T633" s="3"/>
      <c r="U633" s="3"/>
      <c r="V633" s="3">
        <f>164.3+33+150+416+300</f>
        <v>1063.3</v>
      </c>
      <c r="W633" s="3">
        <v>1014.9</v>
      </c>
      <c r="X633" s="3">
        <f t="shared" si="152"/>
        <v>1369.8</v>
      </c>
      <c r="Y633" s="3"/>
      <c r="Z633" s="3"/>
      <c r="AA633" s="3"/>
      <c r="AB633" s="3">
        <f>1032.3+237.5+100</f>
        <v>1369.8</v>
      </c>
      <c r="AC633" s="3">
        <f>AD633+AE633+AF633+AG633</f>
        <v>235</v>
      </c>
      <c r="AD633" s="3"/>
      <c r="AE633" s="3"/>
      <c r="AF633" s="3"/>
      <c r="AG633" s="3">
        <v>235</v>
      </c>
      <c r="AH633" s="3">
        <f t="shared" si="158"/>
        <v>235</v>
      </c>
      <c r="AI633" s="3"/>
      <c r="AJ633" s="3"/>
      <c r="AK633" s="3"/>
      <c r="AL633" s="3">
        <v>235</v>
      </c>
      <c r="AM633" s="3">
        <f>AN633+AO633+AP633+AQ633</f>
        <v>235</v>
      </c>
      <c r="AN633" s="3"/>
      <c r="AO633" s="3"/>
      <c r="AP633" s="3"/>
      <c r="AQ633" s="3">
        <v>235</v>
      </c>
    </row>
    <row r="634" spans="1:43" ht="35.450000000000003" customHeight="1" thickBot="1">
      <c r="A634" s="193" t="s">
        <v>30</v>
      </c>
      <c r="B634" s="73"/>
      <c r="C634" s="315"/>
      <c r="D634" s="267"/>
      <c r="E634" s="315"/>
      <c r="F634" s="195"/>
      <c r="G634" s="3"/>
      <c r="H634" s="3"/>
      <c r="I634" s="87"/>
      <c r="J634" s="3"/>
      <c r="K634" s="3"/>
      <c r="L634" s="3"/>
      <c r="M634" s="87" t="s">
        <v>853</v>
      </c>
      <c r="N634" s="3">
        <f t="shared" si="157"/>
        <v>2155.6000000000004</v>
      </c>
      <c r="O634" s="3">
        <f t="shared" si="155"/>
        <v>2155.6</v>
      </c>
      <c r="P634" s="3"/>
      <c r="Q634" s="3"/>
      <c r="R634" s="3">
        <v>260</v>
      </c>
      <c r="S634" s="3">
        <v>260</v>
      </c>
      <c r="T634" s="3"/>
      <c r="U634" s="3"/>
      <c r="V634" s="3">
        <f>1997.8+242.6+38+17.4-140.2-260</f>
        <v>1895.6000000000004</v>
      </c>
      <c r="W634" s="3">
        <f>2155.6-260</f>
        <v>1895.6</v>
      </c>
      <c r="X634" s="3">
        <f t="shared" si="152"/>
        <v>2610</v>
      </c>
      <c r="Y634" s="3"/>
      <c r="Z634" s="3"/>
      <c r="AA634" s="3"/>
      <c r="AB634" s="3">
        <f>2521.9+88.1</f>
        <v>2610</v>
      </c>
      <c r="AC634" s="3">
        <f>AD634+AE634+AF634+AG634</f>
        <v>2257.5</v>
      </c>
      <c r="AD634" s="3"/>
      <c r="AE634" s="3"/>
      <c r="AF634" s="3"/>
      <c r="AG634" s="3">
        <v>2257.5</v>
      </c>
      <c r="AH634" s="3">
        <f t="shared" si="158"/>
        <v>2257.5</v>
      </c>
      <c r="AI634" s="3"/>
      <c r="AJ634" s="3"/>
      <c r="AK634" s="3"/>
      <c r="AL634" s="3">
        <v>2257.5</v>
      </c>
      <c r="AM634" s="3">
        <f>AN634+AO634+AP634+AQ634</f>
        <v>2257.5</v>
      </c>
      <c r="AN634" s="3"/>
      <c r="AO634" s="3"/>
      <c r="AP634" s="3"/>
      <c r="AQ634" s="3">
        <v>2257.5</v>
      </c>
    </row>
    <row r="635" spans="1:43" ht="35.450000000000003" customHeight="1" thickBot="1">
      <c r="A635" s="193" t="s">
        <v>30</v>
      </c>
      <c r="B635" s="194"/>
      <c r="C635" s="267"/>
      <c r="D635" s="267"/>
      <c r="E635" s="267"/>
      <c r="F635" s="195"/>
      <c r="G635" s="3"/>
      <c r="H635" s="3"/>
      <c r="I635" s="87"/>
      <c r="J635" s="3"/>
      <c r="K635" s="3"/>
      <c r="L635" s="3"/>
      <c r="M635" s="87"/>
      <c r="N635" s="3"/>
      <c r="O635" s="3">
        <f t="shared" si="155"/>
        <v>0</v>
      </c>
      <c r="P635" s="3"/>
      <c r="Q635" s="3"/>
      <c r="R635" s="3"/>
      <c r="S635" s="3"/>
      <c r="T635" s="3"/>
      <c r="U635" s="3"/>
      <c r="V635" s="3"/>
      <c r="W635" s="3"/>
      <c r="X635" s="3">
        <f t="shared" si="152"/>
        <v>0</v>
      </c>
      <c r="Y635" s="3"/>
      <c r="Z635" s="3"/>
      <c r="AA635" s="3"/>
      <c r="AB635" s="3"/>
      <c r="AC635" s="3"/>
      <c r="AD635" s="3"/>
      <c r="AE635" s="3"/>
      <c r="AF635" s="3"/>
      <c r="AG635" s="3"/>
      <c r="AH635" s="3"/>
      <c r="AI635" s="3"/>
      <c r="AJ635" s="3"/>
      <c r="AK635" s="3"/>
      <c r="AL635" s="3"/>
      <c r="AM635" s="3"/>
      <c r="AN635" s="3"/>
      <c r="AO635" s="3"/>
      <c r="AP635" s="3"/>
      <c r="AQ635" s="3"/>
    </row>
    <row r="636" spans="1:43" ht="35.450000000000003" customHeight="1">
      <c r="A636" s="316" t="s">
        <v>30</v>
      </c>
      <c r="B636" s="194"/>
      <c r="C636" s="267"/>
      <c r="D636" s="267"/>
      <c r="E636" s="267"/>
      <c r="F636" s="3"/>
      <c r="G636" s="3"/>
      <c r="H636" s="3"/>
      <c r="I636" s="3"/>
      <c r="J636" s="3"/>
      <c r="K636" s="3"/>
      <c r="L636" s="3"/>
      <c r="M636" s="196" t="s">
        <v>854</v>
      </c>
      <c r="N636" s="3"/>
      <c r="O636" s="3">
        <f t="shared" si="155"/>
        <v>0</v>
      </c>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row>
    <row r="637" spans="1:43" ht="35.450000000000003" customHeight="1">
      <c r="A637" s="317" t="s">
        <v>30</v>
      </c>
      <c r="B637" s="318">
        <v>3504</v>
      </c>
      <c r="C637" s="267"/>
      <c r="D637" s="267"/>
      <c r="E637" s="267"/>
      <c r="F637" s="3"/>
      <c r="G637" s="3"/>
      <c r="H637" s="3"/>
      <c r="I637" s="3"/>
      <c r="J637" s="3"/>
      <c r="K637" s="3"/>
      <c r="L637" s="3"/>
      <c r="M637" s="196" t="s">
        <v>855</v>
      </c>
      <c r="N637" s="3"/>
      <c r="O637" s="3">
        <f t="shared" si="155"/>
        <v>0</v>
      </c>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row>
    <row r="638" spans="1:43" ht="35.450000000000003" customHeight="1">
      <c r="A638" s="317" t="s">
        <v>30</v>
      </c>
      <c r="B638" s="194"/>
      <c r="C638" s="319"/>
      <c r="D638" s="319"/>
      <c r="E638" s="319"/>
      <c r="F638" s="3"/>
      <c r="G638" s="3"/>
      <c r="H638" s="3"/>
      <c r="I638" s="3"/>
      <c r="J638" s="3"/>
      <c r="K638" s="3"/>
      <c r="L638" s="3"/>
      <c r="M638" s="196" t="s">
        <v>856</v>
      </c>
      <c r="N638" s="3"/>
      <c r="O638" s="3">
        <f t="shared" si="155"/>
        <v>0</v>
      </c>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row>
    <row r="639" spans="1:43" ht="35.450000000000003" customHeight="1" thickBot="1">
      <c r="A639" s="193" t="s">
        <v>483</v>
      </c>
      <c r="B639" s="194"/>
      <c r="C639" s="4"/>
      <c r="D639" s="4"/>
      <c r="E639" s="4"/>
      <c r="F639" s="4"/>
      <c r="G639" s="4"/>
      <c r="H639" s="4"/>
      <c r="I639" s="4" t="s">
        <v>1271</v>
      </c>
      <c r="J639" s="4" t="s">
        <v>277</v>
      </c>
      <c r="K639" s="243"/>
      <c r="L639" s="3"/>
      <c r="M639" s="196" t="s">
        <v>857</v>
      </c>
      <c r="N639" s="3">
        <f>P639+R639+T639+V639</f>
        <v>623.19999999999993</v>
      </c>
      <c r="O639" s="3">
        <f t="shared" si="155"/>
        <v>616.79999999999995</v>
      </c>
      <c r="P639" s="3"/>
      <c r="Q639" s="3"/>
      <c r="R639" s="3"/>
      <c r="S639" s="3"/>
      <c r="T639" s="3"/>
      <c r="U639" s="3"/>
      <c r="V639" s="3">
        <f>506.4+116.8</f>
        <v>623.19999999999993</v>
      </c>
      <c r="W639" s="3">
        <v>616.79999999999995</v>
      </c>
      <c r="X639" s="3">
        <f t="shared" ref="X639:X655" si="159">Y639+Z639+AA639+AB639</f>
        <v>556.1</v>
      </c>
      <c r="Y639" s="3"/>
      <c r="Z639" s="3"/>
      <c r="AA639" s="3"/>
      <c r="AB639" s="3">
        <f>506.1+50</f>
        <v>556.1</v>
      </c>
      <c r="AC639" s="3">
        <f>AD639+AE639+AF639+AG639</f>
        <v>591</v>
      </c>
      <c r="AD639" s="3"/>
      <c r="AE639" s="3"/>
      <c r="AF639" s="3"/>
      <c r="AG639" s="3">
        <v>591</v>
      </c>
      <c r="AH639" s="3">
        <f>AI639+AJ639+AK639+AL639</f>
        <v>591</v>
      </c>
      <c r="AI639" s="3"/>
      <c r="AJ639" s="3"/>
      <c r="AK639" s="3"/>
      <c r="AL639" s="3">
        <v>591</v>
      </c>
      <c r="AM639" s="3">
        <f>AN639+AO639+AP639+AQ639</f>
        <v>591</v>
      </c>
      <c r="AN639" s="3"/>
      <c r="AO639" s="3"/>
      <c r="AP639" s="3"/>
      <c r="AQ639" s="3">
        <v>591</v>
      </c>
    </row>
    <row r="640" spans="1:43" ht="35.450000000000003" customHeight="1" thickBot="1">
      <c r="A640" s="193" t="s">
        <v>483</v>
      </c>
      <c r="B640" s="194"/>
      <c r="C640" s="4"/>
      <c r="D640" s="4"/>
      <c r="E640" s="4"/>
      <c r="F640" s="4"/>
      <c r="G640" s="4"/>
      <c r="H640" s="4"/>
      <c r="I640" s="208"/>
      <c r="J640" s="4"/>
      <c r="K640" s="4"/>
      <c r="L640" s="3"/>
      <c r="M640" s="87" t="s">
        <v>858</v>
      </c>
      <c r="N640" s="3">
        <f>P640+R640+T640+V640</f>
        <v>930.6</v>
      </c>
      <c r="O640" s="3">
        <f t="shared" si="155"/>
        <v>914.2</v>
      </c>
      <c r="P640" s="3"/>
      <c r="Q640" s="3"/>
      <c r="R640" s="3">
        <v>52.2</v>
      </c>
      <c r="S640" s="3">
        <v>52.2</v>
      </c>
      <c r="T640" s="3"/>
      <c r="U640" s="3"/>
      <c r="V640" s="3">
        <f>816.6+60+27+36-9-52.2</f>
        <v>878.4</v>
      </c>
      <c r="W640" s="3">
        <f>914.2-52.2</f>
        <v>862</v>
      </c>
      <c r="X640" s="3">
        <f t="shared" si="159"/>
        <v>1039.2</v>
      </c>
      <c r="Y640" s="3"/>
      <c r="Z640" s="3"/>
      <c r="AA640" s="3"/>
      <c r="AB640" s="3">
        <f>965+55.7+18.5</f>
        <v>1039.2</v>
      </c>
      <c r="AC640" s="3">
        <f>AD640+AE640+AF640+AG640</f>
        <v>965</v>
      </c>
      <c r="AD640" s="3"/>
      <c r="AE640" s="3"/>
      <c r="AF640" s="3"/>
      <c r="AG640" s="3">
        <v>965</v>
      </c>
      <c r="AH640" s="3">
        <f>AI640+AJ640+AK640+AL640</f>
        <v>965</v>
      </c>
      <c r="AI640" s="3"/>
      <c r="AJ640" s="3"/>
      <c r="AK640" s="3"/>
      <c r="AL640" s="3">
        <v>965</v>
      </c>
      <c r="AM640" s="3">
        <f>AN640+AO640+AP640+AQ640</f>
        <v>965</v>
      </c>
      <c r="AN640" s="3"/>
      <c r="AO640" s="3"/>
      <c r="AP640" s="3"/>
      <c r="AQ640" s="3">
        <v>965</v>
      </c>
    </row>
    <row r="641" spans="1:43" ht="35.450000000000003" customHeight="1" thickBot="1">
      <c r="A641" s="193" t="s">
        <v>483</v>
      </c>
      <c r="B641" s="194"/>
      <c r="C641" s="4"/>
      <c r="D641" s="4"/>
      <c r="E641" s="4"/>
      <c r="F641" s="4"/>
      <c r="G641" s="4"/>
      <c r="H641" s="4"/>
      <c r="I641" s="4"/>
      <c r="J641" s="4"/>
      <c r="K641" s="4"/>
      <c r="L641" s="3"/>
      <c r="M641" s="87" t="s">
        <v>859</v>
      </c>
      <c r="N641" s="3">
        <f>P641+R641+T641+V641</f>
        <v>117.1</v>
      </c>
      <c r="O641" s="3">
        <f t="shared" si="155"/>
        <v>115.1</v>
      </c>
      <c r="P641" s="3"/>
      <c r="Q641" s="3"/>
      <c r="R641" s="3">
        <v>13.1</v>
      </c>
      <c r="S641" s="3">
        <v>13.1</v>
      </c>
      <c r="T641" s="3"/>
      <c r="U641" s="3"/>
      <c r="V641" s="3">
        <f>94.8+17.9+4.4-13.1</f>
        <v>104</v>
      </c>
      <c r="W641" s="3">
        <f>115.1-13.1</f>
        <v>102</v>
      </c>
      <c r="X641" s="3">
        <f t="shared" si="159"/>
        <v>140.79999999999998</v>
      </c>
      <c r="Y641" s="3"/>
      <c r="Z641" s="3"/>
      <c r="AA641" s="3"/>
      <c r="AB641" s="3">
        <f>122.3+13.9+4.6</f>
        <v>140.79999999999998</v>
      </c>
      <c r="AC641" s="3">
        <f>AD641+AE641+AF641+AG641</f>
        <v>122.3</v>
      </c>
      <c r="AD641" s="3"/>
      <c r="AE641" s="3"/>
      <c r="AF641" s="3"/>
      <c r="AG641" s="3">
        <v>122.3</v>
      </c>
      <c r="AH641" s="3">
        <f>AI641+AJ641+AK641+AL641</f>
        <v>122.3</v>
      </c>
      <c r="AI641" s="3"/>
      <c r="AJ641" s="3"/>
      <c r="AK641" s="3"/>
      <c r="AL641" s="3">
        <v>122.3</v>
      </c>
      <c r="AM641" s="3">
        <f>AN641+AO641+AP641+AQ641</f>
        <v>122.3</v>
      </c>
      <c r="AN641" s="3"/>
      <c r="AO641" s="3"/>
      <c r="AP641" s="3"/>
      <c r="AQ641" s="3">
        <v>122.3</v>
      </c>
    </row>
    <row r="642" spans="1:43" ht="35.450000000000003" customHeight="1" thickBot="1">
      <c r="A642" s="193" t="s">
        <v>483</v>
      </c>
      <c r="B642" s="194"/>
      <c r="C642" s="4"/>
      <c r="D642" s="4"/>
      <c r="E642" s="4"/>
      <c r="F642" s="4"/>
      <c r="G642" s="4"/>
      <c r="H642" s="4"/>
      <c r="I642" s="4"/>
      <c r="J642" s="4"/>
      <c r="K642" s="4"/>
      <c r="L642" s="3"/>
      <c r="M642" s="87" t="s">
        <v>860</v>
      </c>
      <c r="N642" s="3">
        <f>P642+R642+T642+V642</f>
        <v>0</v>
      </c>
      <c r="O642" s="3">
        <f t="shared" si="155"/>
        <v>0</v>
      </c>
      <c r="P642" s="3"/>
      <c r="Q642" s="3"/>
      <c r="R642" s="3"/>
      <c r="S642" s="3"/>
      <c r="T642" s="3"/>
      <c r="U642" s="3"/>
      <c r="V642" s="3"/>
      <c r="W642" s="3"/>
      <c r="X642" s="3">
        <f t="shared" si="159"/>
        <v>86.4</v>
      </c>
      <c r="Y642" s="3"/>
      <c r="Z642" s="3">
        <v>86.4</v>
      </c>
      <c r="AA642" s="3"/>
      <c r="AB642" s="3"/>
      <c r="AC642" s="3">
        <f>AD642+AE642+AF642+AG642</f>
        <v>0</v>
      </c>
      <c r="AD642" s="3"/>
      <c r="AE642" s="3"/>
      <c r="AF642" s="3"/>
      <c r="AG642" s="3"/>
      <c r="AH642" s="3">
        <f>AI642+AJ642+AK642+AL642</f>
        <v>0</v>
      </c>
      <c r="AI642" s="3"/>
      <c r="AJ642" s="3"/>
      <c r="AK642" s="3"/>
      <c r="AL642" s="3"/>
      <c r="AM642" s="3">
        <f>AN642+AO642+AP642+AQ642</f>
        <v>0</v>
      </c>
      <c r="AN642" s="3"/>
      <c r="AO642" s="3"/>
      <c r="AP642" s="3"/>
      <c r="AQ642" s="3"/>
    </row>
    <row r="643" spans="1:43" ht="35.450000000000003" customHeight="1" thickBot="1">
      <c r="A643" s="193" t="s">
        <v>564</v>
      </c>
      <c r="B643" s="194"/>
      <c r="C643" s="64"/>
      <c r="D643" s="64"/>
      <c r="E643" s="64"/>
      <c r="F643" s="64"/>
      <c r="G643" s="64"/>
      <c r="H643" s="64"/>
      <c r="I643" s="64" t="s">
        <v>1268</v>
      </c>
      <c r="J643" s="64" t="s">
        <v>277</v>
      </c>
      <c r="K643" s="63"/>
      <c r="L643" s="3"/>
      <c r="M643" s="87" t="s">
        <v>861</v>
      </c>
      <c r="N643" s="3">
        <f>P643+R643+T643+V643</f>
        <v>782</v>
      </c>
      <c r="O643" s="3">
        <f t="shared" si="155"/>
        <v>745.8</v>
      </c>
      <c r="P643" s="3"/>
      <c r="Q643" s="3"/>
      <c r="R643" s="3">
        <v>52.2</v>
      </c>
      <c r="S643" s="3">
        <v>52.2</v>
      </c>
      <c r="T643" s="3"/>
      <c r="U643" s="3"/>
      <c r="V643" s="3">
        <f>745.9+85.7+34.1-83.7-52.2</f>
        <v>729.8</v>
      </c>
      <c r="W643" s="3">
        <f>745.8-52.2</f>
        <v>693.59999999999991</v>
      </c>
      <c r="X643" s="3">
        <f t="shared" si="159"/>
        <v>612.79999999999995</v>
      </c>
      <c r="Y643" s="3"/>
      <c r="Z643" s="3"/>
      <c r="AA643" s="3"/>
      <c r="AB643" s="3">
        <f>881.2+204.1-302-20.8-10.5-139.2</f>
        <v>612.79999999999995</v>
      </c>
      <c r="AC643" s="3">
        <f>AD643+AE643+AF643+AG643</f>
        <v>881.2</v>
      </c>
      <c r="AD643" s="3"/>
      <c r="AE643" s="3"/>
      <c r="AF643" s="3"/>
      <c r="AG643" s="3">
        <v>881.2</v>
      </c>
      <c r="AH643" s="3">
        <f>AI643+AJ643+AK643+AL643</f>
        <v>881.2</v>
      </c>
      <c r="AI643" s="3"/>
      <c r="AJ643" s="3"/>
      <c r="AK643" s="3"/>
      <c r="AL643" s="3">
        <v>881.2</v>
      </c>
      <c r="AM643" s="3">
        <f>AN643+AO643+AP643+AQ643</f>
        <v>881.2</v>
      </c>
      <c r="AN643" s="3"/>
      <c r="AO643" s="3"/>
      <c r="AP643" s="3"/>
      <c r="AQ643" s="3">
        <v>881.2</v>
      </c>
    </row>
    <row r="644" spans="1:43" ht="35.450000000000003" customHeight="1" thickBot="1">
      <c r="A644" s="193" t="s">
        <v>564</v>
      </c>
      <c r="B644" s="194"/>
      <c r="C644" s="64"/>
      <c r="D644" s="64"/>
      <c r="E644" s="64"/>
      <c r="F644" s="64"/>
      <c r="G644" s="64"/>
      <c r="H644" s="64"/>
      <c r="I644" s="320"/>
      <c r="J644" s="64"/>
      <c r="K644" s="321"/>
      <c r="L644" s="3"/>
      <c r="M644" s="87" t="s">
        <v>862</v>
      </c>
      <c r="N644" s="3"/>
      <c r="O644" s="3">
        <f t="shared" si="155"/>
        <v>0</v>
      </c>
      <c r="P644" s="3"/>
      <c r="Q644" s="3"/>
      <c r="R644" s="3"/>
      <c r="S644" s="3"/>
      <c r="T644" s="3"/>
      <c r="U644" s="3"/>
      <c r="V644" s="3"/>
      <c r="W644" s="3"/>
      <c r="X644" s="3">
        <f t="shared" si="159"/>
        <v>82.5</v>
      </c>
      <c r="Y644" s="3"/>
      <c r="Z644" s="3">
        <v>82.5</v>
      </c>
      <c r="AA644" s="3"/>
      <c r="AB644" s="3"/>
      <c r="AC644" s="3"/>
      <c r="AD644" s="3"/>
      <c r="AE644" s="3"/>
      <c r="AF644" s="3"/>
      <c r="AG644" s="3"/>
      <c r="AH644" s="3"/>
      <c r="AI644" s="3"/>
      <c r="AJ644" s="3"/>
      <c r="AK644" s="3"/>
      <c r="AL644" s="3"/>
      <c r="AM644" s="3"/>
      <c r="AN644" s="3"/>
      <c r="AO644" s="3"/>
      <c r="AP644" s="3"/>
      <c r="AQ644" s="3"/>
    </row>
    <row r="645" spans="1:43" ht="35.450000000000003" customHeight="1" thickBot="1">
      <c r="A645" s="193" t="s">
        <v>564</v>
      </c>
      <c r="B645" s="194"/>
      <c r="C645" s="64"/>
      <c r="D645" s="64"/>
      <c r="E645" s="64"/>
      <c r="F645" s="64"/>
      <c r="G645" s="64"/>
      <c r="H645" s="64"/>
      <c r="I645" s="322"/>
      <c r="J645" s="64"/>
      <c r="K645" s="63"/>
      <c r="L645" s="3"/>
      <c r="M645" s="87" t="s">
        <v>863</v>
      </c>
      <c r="N645" s="3">
        <f>P645+R645+T645+V645</f>
        <v>104.1</v>
      </c>
      <c r="O645" s="3">
        <f t="shared" si="155"/>
        <v>97.1</v>
      </c>
      <c r="P645" s="3"/>
      <c r="Q645" s="3"/>
      <c r="R645" s="3"/>
      <c r="S645" s="3"/>
      <c r="T645" s="3"/>
      <c r="U645" s="3"/>
      <c r="V645" s="3">
        <v>104.1</v>
      </c>
      <c r="W645" s="3">
        <v>97.1</v>
      </c>
      <c r="X645" s="3">
        <f t="shared" si="159"/>
        <v>215.9</v>
      </c>
      <c r="Y645" s="3"/>
      <c r="Z645" s="3"/>
      <c r="AA645" s="3"/>
      <c r="AB645" s="3">
        <f>80.9+90+45</f>
        <v>215.9</v>
      </c>
      <c r="AC645" s="3">
        <f>AD645+AE645+AF645+AG645</f>
        <v>537.1</v>
      </c>
      <c r="AD645" s="3"/>
      <c r="AE645" s="3"/>
      <c r="AF645" s="3"/>
      <c r="AG645" s="3">
        <v>537.1</v>
      </c>
      <c r="AH645" s="3">
        <f>AI645+AJ645+AK645+AL645</f>
        <v>537.1</v>
      </c>
      <c r="AI645" s="3"/>
      <c r="AJ645" s="3"/>
      <c r="AK645" s="3"/>
      <c r="AL645" s="3">
        <v>537.1</v>
      </c>
      <c r="AM645" s="3">
        <f>AN645+AO645+AP645+AQ645</f>
        <v>537.1</v>
      </c>
      <c r="AN645" s="3"/>
      <c r="AO645" s="3"/>
      <c r="AP645" s="3"/>
      <c r="AQ645" s="3">
        <v>537.1</v>
      </c>
    </row>
    <row r="646" spans="1:43" ht="35.450000000000003" customHeight="1">
      <c r="A646" s="323" t="s">
        <v>864</v>
      </c>
      <c r="B646" s="194"/>
      <c r="C646" s="230"/>
      <c r="D646" s="230"/>
      <c r="E646" s="324"/>
      <c r="F646" s="127"/>
      <c r="G646" s="127"/>
      <c r="H646" s="127"/>
      <c r="I646" s="64"/>
      <c r="J646" s="312"/>
      <c r="K646" s="313"/>
      <c r="L646" s="3"/>
      <c r="M646" s="87" t="s">
        <v>865</v>
      </c>
      <c r="N646" s="3">
        <f>P646+R646+T646+V646</f>
        <v>404.90000000000003</v>
      </c>
      <c r="O646" s="3">
        <f t="shared" si="155"/>
        <v>404.9</v>
      </c>
      <c r="P646" s="3"/>
      <c r="Q646" s="3"/>
      <c r="R646" s="3">
        <v>26.1</v>
      </c>
      <c r="S646" s="3">
        <v>26.1</v>
      </c>
      <c r="T646" s="3"/>
      <c r="U646" s="3"/>
      <c r="V646" s="3">
        <f>466.5+48.2-76-33.8-26.1</f>
        <v>378.8</v>
      </c>
      <c r="W646" s="3">
        <f>404.9-26.1</f>
        <v>378.79999999999995</v>
      </c>
      <c r="X646" s="3">
        <f t="shared" si="159"/>
        <v>440.59999999999997</v>
      </c>
      <c r="Y646" s="3"/>
      <c r="Z646" s="3"/>
      <c r="AA646" s="3"/>
      <c r="AB646" s="3">
        <f>727.9-162.6-124.7</f>
        <v>440.59999999999997</v>
      </c>
      <c r="AC646" s="3">
        <f>AD646+AE646+AF646+AG646</f>
        <v>727.9</v>
      </c>
      <c r="AD646" s="3"/>
      <c r="AE646" s="3"/>
      <c r="AF646" s="3"/>
      <c r="AG646" s="3">
        <v>727.9</v>
      </c>
      <c r="AH646" s="3">
        <f>AI646+AJ646+AK646+AL646</f>
        <v>727.9</v>
      </c>
      <c r="AI646" s="3"/>
      <c r="AJ646" s="3"/>
      <c r="AK646" s="3"/>
      <c r="AL646" s="3">
        <v>727.9</v>
      </c>
      <c r="AM646" s="3">
        <f>AN646+AO646+AP646+AQ646</f>
        <v>727.9</v>
      </c>
      <c r="AN646" s="3"/>
      <c r="AO646" s="3"/>
      <c r="AP646" s="3"/>
      <c r="AQ646" s="3">
        <v>727.9</v>
      </c>
    </row>
    <row r="647" spans="1:43" ht="35.450000000000003" customHeight="1">
      <c r="A647" s="323" t="s">
        <v>864</v>
      </c>
      <c r="B647" s="194"/>
      <c r="C647" s="230"/>
      <c r="D647" s="230"/>
      <c r="E647" s="324"/>
      <c r="F647" s="127"/>
      <c r="G647" s="127"/>
      <c r="H647" s="127"/>
      <c r="I647" s="64" t="s">
        <v>1281</v>
      </c>
      <c r="J647" s="312" t="s">
        <v>153</v>
      </c>
      <c r="K647" s="313"/>
      <c r="L647" s="3"/>
      <c r="M647" s="87" t="s">
        <v>866</v>
      </c>
      <c r="N647" s="3">
        <f>P647+R647+T647+V647</f>
        <v>285.60000000000002</v>
      </c>
      <c r="O647" s="3">
        <f t="shared" si="155"/>
        <v>273.3</v>
      </c>
      <c r="P647" s="3"/>
      <c r="Q647" s="3"/>
      <c r="R647" s="3"/>
      <c r="S647" s="3"/>
      <c r="T647" s="3"/>
      <c r="U647" s="3"/>
      <c r="V647" s="3">
        <v>285.60000000000002</v>
      </c>
      <c r="W647" s="3">
        <v>273.3</v>
      </c>
      <c r="X647" s="3">
        <f t="shared" si="159"/>
        <v>343</v>
      </c>
      <c r="Y647" s="3"/>
      <c r="Z647" s="3"/>
      <c r="AA647" s="3"/>
      <c r="AB647" s="3">
        <v>343</v>
      </c>
      <c r="AC647" s="3">
        <f>AD647+AE647+AF647+AG647</f>
        <v>343</v>
      </c>
      <c r="AD647" s="3"/>
      <c r="AE647" s="3"/>
      <c r="AF647" s="3"/>
      <c r="AG647" s="3">
        <v>343</v>
      </c>
      <c r="AH647" s="3">
        <f>AI647+AJ647+AK647+AL647</f>
        <v>343</v>
      </c>
      <c r="AI647" s="3"/>
      <c r="AJ647" s="3"/>
      <c r="AK647" s="3"/>
      <c r="AL647" s="3">
        <v>343</v>
      </c>
      <c r="AM647" s="3">
        <f>AN647+AO647+AP647+AQ647</f>
        <v>343</v>
      </c>
      <c r="AN647" s="3"/>
      <c r="AO647" s="3"/>
      <c r="AP647" s="3"/>
      <c r="AQ647" s="3">
        <v>343</v>
      </c>
    </row>
    <row r="648" spans="1:43" ht="35.450000000000003" customHeight="1">
      <c r="A648" s="323" t="s">
        <v>864</v>
      </c>
      <c r="B648" s="194"/>
      <c r="C648" s="325"/>
      <c r="D648" s="325"/>
      <c r="E648" s="325"/>
      <c r="F648" s="179"/>
      <c r="G648" s="64"/>
      <c r="H648" s="223"/>
      <c r="I648" s="210"/>
      <c r="J648" s="64"/>
      <c r="K648" s="210"/>
      <c r="L648" s="3"/>
      <c r="M648" s="87" t="s">
        <v>867</v>
      </c>
      <c r="N648" s="3"/>
      <c r="O648" s="3">
        <f t="shared" si="155"/>
        <v>0</v>
      </c>
      <c r="P648" s="3"/>
      <c r="Q648" s="3"/>
      <c r="R648" s="3"/>
      <c r="S648" s="3"/>
      <c r="T648" s="3"/>
      <c r="U648" s="3"/>
      <c r="V648" s="3"/>
      <c r="W648" s="3"/>
      <c r="X648" s="3">
        <f t="shared" si="159"/>
        <v>43.9</v>
      </c>
      <c r="Y648" s="3"/>
      <c r="Z648" s="3">
        <f>21.9+21.9+0.1</f>
        <v>43.9</v>
      </c>
      <c r="AA648" s="3"/>
      <c r="AB648" s="3"/>
      <c r="AC648" s="3"/>
      <c r="AD648" s="3"/>
      <c r="AE648" s="3"/>
      <c r="AF648" s="3"/>
      <c r="AG648" s="3"/>
      <c r="AH648" s="3"/>
      <c r="AI648" s="3"/>
      <c r="AJ648" s="3"/>
      <c r="AK648" s="3"/>
      <c r="AL648" s="3"/>
      <c r="AM648" s="3"/>
      <c r="AN648" s="3"/>
      <c r="AO648" s="3"/>
      <c r="AP648" s="3"/>
      <c r="AQ648" s="3"/>
    </row>
    <row r="649" spans="1:43" ht="35.450000000000003" customHeight="1">
      <c r="A649" s="323" t="s">
        <v>864</v>
      </c>
      <c r="B649" s="194"/>
      <c r="C649" s="325"/>
      <c r="D649" s="325"/>
      <c r="E649" s="325"/>
      <c r="F649" s="179"/>
      <c r="G649" s="64"/>
      <c r="H649" s="223"/>
      <c r="I649" s="210"/>
      <c r="J649" s="64"/>
      <c r="K649" s="210"/>
      <c r="L649" s="3"/>
      <c r="M649" s="87" t="s">
        <v>868</v>
      </c>
      <c r="N649" s="3"/>
      <c r="O649" s="3"/>
      <c r="P649" s="3"/>
      <c r="Q649" s="3"/>
      <c r="R649" s="3"/>
      <c r="S649" s="3"/>
      <c r="T649" s="3"/>
      <c r="U649" s="3"/>
      <c r="V649" s="3"/>
      <c r="W649" s="3"/>
      <c r="X649" s="3">
        <f t="shared" si="159"/>
        <v>0</v>
      </c>
      <c r="Y649" s="3"/>
      <c r="Z649" s="3">
        <f>189-177.9-11.1</f>
        <v>0</v>
      </c>
      <c r="AA649" s="3"/>
      <c r="AB649" s="3"/>
      <c r="AC649" s="3"/>
      <c r="AD649" s="3"/>
      <c r="AE649" s="3"/>
      <c r="AF649" s="3"/>
      <c r="AG649" s="3"/>
      <c r="AH649" s="3"/>
      <c r="AI649" s="3"/>
      <c r="AJ649" s="3"/>
      <c r="AK649" s="3"/>
      <c r="AL649" s="3"/>
      <c r="AM649" s="3"/>
      <c r="AN649" s="3"/>
      <c r="AO649" s="3"/>
      <c r="AP649" s="3"/>
      <c r="AQ649" s="3"/>
    </row>
    <row r="650" spans="1:43" ht="35.450000000000003" customHeight="1">
      <c r="A650" s="326" t="s">
        <v>869</v>
      </c>
      <c r="B650" s="64"/>
      <c r="C650" s="64"/>
      <c r="D650" s="64"/>
      <c r="E650" s="64"/>
      <c r="F650" s="64"/>
      <c r="G650" s="64"/>
      <c r="H650" s="64"/>
      <c r="I650" s="64" t="s">
        <v>1256</v>
      </c>
      <c r="J650" s="64" t="s">
        <v>277</v>
      </c>
      <c r="K650" s="208"/>
      <c r="L650" s="3"/>
      <c r="M650" s="87" t="s">
        <v>870</v>
      </c>
      <c r="N650" s="3">
        <f>P650+R650+T650+V650</f>
        <v>753.59999999999991</v>
      </c>
      <c r="O650" s="3">
        <f t="shared" si="155"/>
        <v>740.9</v>
      </c>
      <c r="P650" s="3"/>
      <c r="Q650" s="3"/>
      <c r="R650" s="3">
        <v>48.9</v>
      </c>
      <c r="S650" s="3">
        <v>48.9</v>
      </c>
      <c r="T650" s="3"/>
      <c r="U650" s="3"/>
      <c r="V650" s="3">
        <f>645.9+68.4+29.5+9.8-48.9</f>
        <v>704.69999999999993</v>
      </c>
      <c r="W650" s="3">
        <f>740.9-48.9</f>
        <v>692</v>
      </c>
      <c r="X650" s="3">
        <f t="shared" si="159"/>
        <v>818.3</v>
      </c>
      <c r="Y650" s="3"/>
      <c r="Z650" s="3"/>
      <c r="AA650" s="3"/>
      <c r="AB650" s="3">
        <f>758+41.8+119.3-79.4-21.4</f>
        <v>818.3</v>
      </c>
      <c r="AC650" s="3">
        <f>AD650+AE650+AF650+AG650</f>
        <v>758</v>
      </c>
      <c r="AD650" s="3"/>
      <c r="AE650" s="3"/>
      <c r="AF650" s="3"/>
      <c r="AG650" s="3">
        <v>758</v>
      </c>
      <c r="AH650" s="3">
        <f>AI650+AJ650+AK650+AL650</f>
        <v>758</v>
      </c>
      <c r="AI650" s="3"/>
      <c r="AJ650" s="3"/>
      <c r="AK650" s="3"/>
      <c r="AL650" s="3">
        <v>758</v>
      </c>
      <c r="AM650" s="3">
        <f>AN650+AO650+AP650+AQ650</f>
        <v>758</v>
      </c>
      <c r="AN650" s="3"/>
      <c r="AO650" s="3"/>
      <c r="AP650" s="3"/>
      <c r="AQ650" s="3">
        <v>758</v>
      </c>
    </row>
    <row r="651" spans="1:43" ht="35.450000000000003" customHeight="1">
      <c r="A651" s="326" t="s">
        <v>869</v>
      </c>
      <c r="B651" s="64"/>
      <c r="C651" s="64"/>
      <c r="D651" s="64"/>
      <c r="E651" s="64"/>
      <c r="F651" s="64"/>
      <c r="G651" s="64"/>
      <c r="H651" s="64"/>
      <c r="I651" s="84"/>
      <c r="J651" s="64"/>
      <c r="K651" s="208"/>
      <c r="L651" s="3"/>
      <c r="M651" s="87" t="s">
        <v>871</v>
      </c>
      <c r="N651" s="3">
        <f>P651+R651+T651+V651</f>
        <v>450.79999999999995</v>
      </c>
      <c r="O651" s="3">
        <f t="shared" si="155"/>
        <v>443.2</v>
      </c>
      <c r="P651" s="3"/>
      <c r="Q651" s="3"/>
      <c r="R651" s="3"/>
      <c r="S651" s="3"/>
      <c r="T651" s="3"/>
      <c r="U651" s="3"/>
      <c r="V651" s="3">
        <f>328.4+122.4</f>
        <v>450.79999999999995</v>
      </c>
      <c r="W651" s="3">
        <v>443.2</v>
      </c>
      <c r="X651" s="3">
        <f t="shared" si="159"/>
        <v>981.40000000000009</v>
      </c>
      <c r="Y651" s="3"/>
      <c r="Z651" s="3"/>
      <c r="AA651" s="3"/>
      <c r="AB651" s="3">
        <f>450.8-5+102.9+340.6+92.1</f>
        <v>981.40000000000009</v>
      </c>
      <c r="AC651" s="3">
        <f>AD651+AE651+AF651+AG651</f>
        <v>450.8</v>
      </c>
      <c r="AD651" s="3"/>
      <c r="AE651" s="3"/>
      <c r="AF651" s="3"/>
      <c r="AG651" s="3">
        <v>450.8</v>
      </c>
      <c r="AH651" s="3">
        <f>AI651+AJ651+AK651+AL651</f>
        <v>450.8</v>
      </c>
      <c r="AI651" s="3"/>
      <c r="AJ651" s="3"/>
      <c r="AK651" s="3"/>
      <c r="AL651" s="3">
        <v>450.8</v>
      </c>
      <c r="AM651" s="3">
        <f>AN651+AO651+AP651+AQ651</f>
        <v>450.8</v>
      </c>
      <c r="AN651" s="3"/>
      <c r="AO651" s="3"/>
      <c r="AP651" s="3"/>
      <c r="AQ651" s="3">
        <v>450.8</v>
      </c>
    </row>
    <row r="652" spans="1:43" ht="35.450000000000003" customHeight="1">
      <c r="A652" s="326" t="s">
        <v>869</v>
      </c>
      <c r="B652" s="64"/>
      <c r="C652" s="64"/>
      <c r="D652" s="64"/>
      <c r="E652" s="64"/>
      <c r="F652" s="64"/>
      <c r="G652" s="64"/>
      <c r="H652" s="64"/>
      <c r="I652" s="327"/>
      <c r="J652" s="64"/>
      <c r="K652" s="208"/>
      <c r="L652" s="3"/>
      <c r="M652" s="87" t="s">
        <v>872</v>
      </c>
      <c r="N652" s="3">
        <f>P652+R652+T652+V652</f>
        <v>0</v>
      </c>
      <c r="O652" s="3">
        <f t="shared" si="155"/>
        <v>0</v>
      </c>
      <c r="P652" s="3"/>
      <c r="Q652" s="3"/>
      <c r="R652" s="3"/>
      <c r="S652" s="3"/>
      <c r="T652" s="3"/>
      <c r="U652" s="3"/>
      <c r="V652" s="3"/>
      <c r="W652" s="3"/>
      <c r="X652" s="3">
        <f t="shared" si="159"/>
        <v>5</v>
      </c>
      <c r="Y652" s="3"/>
      <c r="Z652" s="3"/>
      <c r="AA652" s="3"/>
      <c r="AB652" s="3">
        <v>5</v>
      </c>
      <c r="AC652" s="3">
        <f>AD652+AE652+AF652+AG652</f>
        <v>0</v>
      </c>
      <c r="AD652" s="3"/>
      <c r="AE652" s="3"/>
      <c r="AF652" s="3"/>
      <c r="AG652" s="3"/>
      <c r="AH652" s="3">
        <f>AI652+AJ652+AK652+AL652</f>
        <v>0</v>
      </c>
      <c r="AI652" s="3"/>
      <c r="AJ652" s="3"/>
      <c r="AK652" s="3"/>
      <c r="AL652" s="3"/>
      <c r="AM652" s="3">
        <f>AN652+AO652+AP652+AQ652</f>
        <v>0</v>
      </c>
      <c r="AN652" s="3"/>
      <c r="AO652" s="3"/>
      <c r="AP652" s="3"/>
      <c r="AQ652" s="3"/>
    </row>
    <row r="653" spans="1:43" ht="35.450000000000003" customHeight="1">
      <c r="A653" s="326" t="s">
        <v>869</v>
      </c>
      <c r="B653" s="64"/>
      <c r="C653" s="64"/>
      <c r="D653" s="64"/>
      <c r="E653" s="64"/>
      <c r="F653" s="64"/>
      <c r="G653" s="64"/>
      <c r="H653" s="64"/>
      <c r="I653" s="64"/>
      <c r="J653" s="64"/>
      <c r="K653" s="208"/>
      <c r="L653" s="3"/>
      <c r="M653" s="87" t="s">
        <v>873</v>
      </c>
      <c r="N653" s="3">
        <f>P653+R653+T653+V653</f>
        <v>144.40000000000003</v>
      </c>
      <c r="O653" s="3">
        <f t="shared" si="155"/>
        <v>141.5</v>
      </c>
      <c r="P653" s="3"/>
      <c r="Q653" s="3"/>
      <c r="R653" s="3">
        <v>15.8</v>
      </c>
      <c r="S653" s="3">
        <v>15.8</v>
      </c>
      <c r="T653" s="3"/>
      <c r="U653" s="3"/>
      <c r="V653" s="3">
        <f>116.9+19.3+5.4+2.8-15.8</f>
        <v>128.60000000000002</v>
      </c>
      <c r="W653" s="3">
        <f>141.5-15.8</f>
        <v>125.7</v>
      </c>
      <c r="X653" s="3">
        <f t="shared" si="159"/>
        <v>176.1</v>
      </c>
      <c r="Y653" s="3"/>
      <c r="Z653" s="3"/>
      <c r="AA653" s="3"/>
      <c r="AB653" s="3">
        <f>145.7+13.9+11.9+4.6</f>
        <v>176.1</v>
      </c>
      <c r="AC653" s="3">
        <f>AD653+AE653+AF653+AG653</f>
        <v>145.69999999999999</v>
      </c>
      <c r="AD653" s="3"/>
      <c r="AE653" s="3"/>
      <c r="AF653" s="3"/>
      <c r="AG653" s="3">
        <v>145.69999999999999</v>
      </c>
      <c r="AH653" s="3">
        <f>AI653+AJ653+AK653+AL653</f>
        <v>145.69999999999999</v>
      </c>
      <c r="AI653" s="3"/>
      <c r="AJ653" s="3"/>
      <c r="AK653" s="3"/>
      <c r="AL653" s="3">
        <v>145.69999999999999</v>
      </c>
      <c r="AM653" s="3">
        <f>AN653+AO653+AP653+AQ653</f>
        <v>145.69999999999999</v>
      </c>
      <c r="AN653" s="3"/>
      <c r="AO653" s="3"/>
      <c r="AP653" s="3"/>
      <c r="AQ653" s="3">
        <v>145.69999999999999</v>
      </c>
    </row>
    <row r="654" spans="1:43" ht="35.450000000000003" customHeight="1">
      <c r="A654" s="326" t="s">
        <v>869</v>
      </c>
      <c r="B654" s="64"/>
      <c r="C654" s="135"/>
      <c r="D654" s="130"/>
      <c r="E654" s="259"/>
      <c r="F654" s="64"/>
      <c r="G654" s="130"/>
      <c r="H654" s="64"/>
      <c r="I654" s="312"/>
      <c r="J654" s="313"/>
      <c r="K654" s="230"/>
      <c r="L654" s="3"/>
      <c r="M654" s="87" t="s">
        <v>874</v>
      </c>
      <c r="N654" s="3"/>
      <c r="O654" s="3">
        <f t="shared" si="155"/>
        <v>0</v>
      </c>
      <c r="P654" s="3"/>
      <c r="Q654" s="3"/>
      <c r="R654" s="3"/>
      <c r="S654" s="3"/>
      <c r="T654" s="3"/>
      <c r="U654" s="3"/>
      <c r="V654" s="3"/>
      <c r="W654" s="3"/>
      <c r="X654" s="3">
        <f t="shared" si="159"/>
        <v>65.7</v>
      </c>
      <c r="Y654" s="3"/>
      <c r="Z654" s="3">
        <v>65.7</v>
      </c>
      <c r="AA654" s="3"/>
      <c r="AB654" s="3"/>
      <c r="AC654" s="3"/>
      <c r="AD654" s="3"/>
      <c r="AE654" s="3"/>
      <c r="AF654" s="3"/>
      <c r="AG654" s="3"/>
      <c r="AH654" s="3"/>
      <c r="AI654" s="3"/>
      <c r="AJ654" s="3"/>
      <c r="AK654" s="3"/>
      <c r="AL654" s="3"/>
      <c r="AM654" s="3"/>
      <c r="AN654" s="3"/>
      <c r="AO654" s="3"/>
      <c r="AP654" s="3"/>
      <c r="AQ654" s="3"/>
    </row>
    <row r="655" spans="1:43" ht="35.450000000000003" customHeight="1">
      <c r="A655" s="326" t="s">
        <v>56</v>
      </c>
      <c r="B655" s="6"/>
      <c r="C655" s="135"/>
      <c r="D655" s="130"/>
      <c r="E655" s="259"/>
      <c r="F655" s="64"/>
      <c r="G655" s="130"/>
      <c r="H655" s="64"/>
      <c r="I655" s="312"/>
      <c r="J655" s="313"/>
      <c r="K655" s="230"/>
      <c r="L655" s="3"/>
      <c r="M655" s="87" t="s">
        <v>875</v>
      </c>
      <c r="N655" s="3"/>
      <c r="O655" s="3">
        <f t="shared" si="155"/>
        <v>0</v>
      </c>
      <c r="P655" s="3"/>
      <c r="Q655" s="3"/>
      <c r="R655" s="3"/>
      <c r="S655" s="3"/>
      <c r="T655" s="3"/>
      <c r="U655" s="3"/>
      <c r="V655" s="3"/>
      <c r="W655" s="3"/>
      <c r="X655" s="3">
        <f t="shared" si="159"/>
        <v>10</v>
      </c>
      <c r="Y655" s="3"/>
      <c r="Z655" s="3"/>
      <c r="AA655" s="3"/>
      <c r="AB655" s="3">
        <v>10</v>
      </c>
      <c r="AC655" s="3"/>
      <c r="AD655" s="3"/>
      <c r="AE655" s="3"/>
      <c r="AF655" s="3"/>
      <c r="AG655" s="3"/>
      <c r="AH655" s="3"/>
      <c r="AI655" s="3"/>
      <c r="AJ655" s="3"/>
      <c r="AK655" s="3"/>
      <c r="AL655" s="3"/>
      <c r="AM655" s="3"/>
      <c r="AN655" s="3"/>
      <c r="AO655" s="3"/>
      <c r="AP655" s="3"/>
      <c r="AQ655" s="3"/>
    </row>
    <row r="656" spans="1:43" ht="35.450000000000003" customHeight="1">
      <c r="A656" s="326" t="s">
        <v>56</v>
      </c>
      <c r="B656" s="64"/>
      <c r="C656" s="106"/>
      <c r="D656" s="111"/>
      <c r="E656" s="111"/>
      <c r="F656" s="314"/>
      <c r="G656" s="328"/>
      <c r="H656" s="3"/>
      <c r="L656" s="3"/>
      <c r="M656" s="64" t="s">
        <v>876</v>
      </c>
      <c r="N656" s="3">
        <f>P656+R656+T656+V656</f>
        <v>2720</v>
      </c>
      <c r="O656" s="3">
        <f t="shared" si="155"/>
        <v>2678.7</v>
      </c>
      <c r="P656" s="3"/>
      <c r="Q656" s="3"/>
      <c r="R656" s="3">
        <v>143.5</v>
      </c>
      <c r="S656" s="3">
        <v>143.5</v>
      </c>
      <c r="T656" s="3"/>
      <c r="U656" s="3"/>
      <c r="V656" s="3">
        <f>2533.8+143.5+42.7-143.5</f>
        <v>2576.5</v>
      </c>
      <c r="W656" s="3">
        <f>2678.7-143.5</f>
        <v>2535.1999999999998</v>
      </c>
      <c r="X656" s="3">
        <f>Y656+Z656+AA656+AB656</f>
        <v>2918.5</v>
      </c>
      <c r="Y656" s="3"/>
      <c r="Z656" s="3"/>
      <c r="AA656" s="3"/>
      <c r="AB656" s="3">
        <f>2714.4+153.1+51</f>
        <v>2918.5</v>
      </c>
      <c r="AC656" s="3">
        <f>AD656+AE656+AF656+AG656</f>
        <v>2714.4</v>
      </c>
      <c r="AD656" s="3"/>
      <c r="AE656" s="3"/>
      <c r="AF656" s="3"/>
      <c r="AG656" s="3">
        <v>2714.4</v>
      </c>
      <c r="AH656" s="3">
        <f>AI656+AJ656+AK656+AL656</f>
        <v>2714.4</v>
      </c>
      <c r="AI656" s="3"/>
      <c r="AJ656" s="3"/>
      <c r="AK656" s="3"/>
      <c r="AL656" s="3">
        <v>2714.4</v>
      </c>
      <c r="AM656" s="3">
        <f>AN656+AO656+AP656+AQ656</f>
        <v>2714.4</v>
      </c>
      <c r="AN656" s="3"/>
      <c r="AO656" s="3"/>
      <c r="AP656" s="3"/>
      <c r="AQ656" s="3">
        <v>2714.4</v>
      </c>
    </row>
    <row r="657" spans="1:43" ht="35.450000000000003" customHeight="1">
      <c r="A657" s="326" t="s">
        <v>56</v>
      </c>
      <c r="B657" s="75"/>
      <c r="C657" s="329"/>
      <c r="D657" s="111"/>
      <c r="E657" s="111"/>
      <c r="F657" s="314"/>
      <c r="G657" s="328"/>
      <c r="H657" s="3"/>
      <c r="L657" s="3"/>
      <c r="M657" s="87" t="s">
        <v>877</v>
      </c>
      <c r="N657" s="3">
        <f>P657+R657+T657+V657</f>
        <v>1320.1</v>
      </c>
      <c r="O657" s="3">
        <f t="shared" si="155"/>
        <v>1281</v>
      </c>
      <c r="P657" s="3"/>
      <c r="Q657" s="3"/>
      <c r="R657" s="3"/>
      <c r="S657" s="3"/>
      <c r="T657" s="3"/>
      <c r="U657" s="3"/>
      <c r="V657" s="3">
        <f>1460.1+150-290</f>
        <v>1320.1</v>
      </c>
      <c r="W657" s="3">
        <v>1281</v>
      </c>
      <c r="X657" s="3">
        <f>Y657+Z657+AA657+AB657</f>
        <v>1432.9</v>
      </c>
      <c r="Y657" s="3"/>
      <c r="Z657" s="3"/>
      <c r="AA657" s="3"/>
      <c r="AB657" s="3">
        <f>1682.2-10-17.3-222</f>
        <v>1432.9</v>
      </c>
      <c r="AC657" s="3">
        <f>AD657+AE657+AF657+AG657</f>
        <v>1287.2</v>
      </c>
      <c r="AD657" s="3"/>
      <c r="AE657" s="3"/>
      <c r="AF657" s="3"/>
      <c r="AG657" s="3">
        <v>1287.2</v>
      </c>
      <c r="AH657" s="3">
        <f>AI657+AJ657+AK657+AL657</f>
        <v>1287.2</v>
      </c>
      <c r="AI657" s="3"/>
      <c r="AJ657" s="3"/>
      <c r="AK657" s="3"/>
      <c r="AL657" s="3">
        <v>1287.2</v>
      </c>
      <c r="AM657" s="3">
        <f>AN657+AO657+AP657+AQ657</f>
        <v>1287.2</v>
      </c>
      <c r="AN657" s="3"/>
      <c r="AO657" s="3"/>
      <c r="AP657" s="3"/>
      <c r="AQ657" s="3">
        <v>1287.2</v>
      </c>
    </row>
    <row r="658" spans="1:43" ht="35.450000000000003" customHeight="1">
      <c r="A658" s="326" t="s">
        <v>56</v>
      </c>
      <c r="B658" s="75"/>
      <c r="C658" s="329"/>
      <c r="D658" s="111"/>
      <c r="E658" s="111"/>
      <c r="F658" s="314"/>
      <c r="G658" s="328"/>
      <c r="H658" s="3"/>
      <c r="L658" s="3"/>
      <c r="M658" s="87" t="s">
        <v>878</v>
      </c>
      <c r="N658" s="3"/>
      <c r="O658" s="3">
        <f t="shared" si="155"/>
        <v>0</v>
      </c>
      <c r="P658" s="3"/>
      <c r="Q658" s="3"/>
      <c r="R658" s="3"/>
      <c r="S658" s="3"/>
      <c r="T658" s="3"/>
      <c r="U658" s="3"/>
      <c r="V658" s="3"/>
      <c r="W658" s="3"/>
      <c r="X658" s="3">
        <f>Y658+Z658+AA658+AB658</f>
        <v>241.1</v>
      </c>
      <c r="Y658" s="3"/>
      <c r="Z658" s="3">
        <v>241.1</v>
      </c>
      <c r="AA658" s="3"/>
      <c r="AB658" s="3"/>
      <c r="AC658" s="3"/>
      <c r="AD658" s="3"/>
      <c r="AE658" s="3"/>
      <c r="AF658" s="3"/>
      <c r="AG658" s="3"/>
      <c r="AH658" s="3"/>
      <c r="AI658" s="3"/>
      <c r="AJ658" s="3"/>
      <c r="AK658" s="3"/>
      <c r="AL658" s="3"/>
      <c r="AM658" s="3"/>
      <c r="AN658" s="3"/>
      <c r="AO658" s="3"/>
      <c r="AP658" s="3"/>
      <c r="AQ658" s="3"/>
    </row>
    <row r="659" spans="1:43" ht="35.450000000000003" customHeight="1">
      <c r="A659" s="326" t="s">
        <v>56</v>
      </c>
      <c r="B659" s="75"/>
      <c r="C659" s="329"/>
      <c r="D659" s="111"/>
      <c r="E659" s="111"/>
      <c r="F659" s="314"/>
      <c r="G659" s="328"/>
      <c r="H659" s="3"/>
      <c r="L659" s="3"/>
      <c r="M659" s="87" t="s">
        <v>879</v>
      </c>
      <c r="N659" s="3">
        <f>P659+R659+T659+V659</f>
        <v>0</v>
      </c>
      <c r="O659" s="3">
        <f t="shared" si="155"/>
        <v>0</v>
      </c>
      <c r="P659" s="3"/>
      <c r="Q659" s="3"/>
      <c r="R659" s="3"/>
      <c r="S659" s="3"/>
      <c r="T659" s="3"/>
      <c r="U659" s="3"/>
      <c r="V659" s="3">
        <v>0</v>
      </c>
      <c r="W659" s="3"/>
      <c r="X659" s="3">
        <f>Y659+Z659+AA659+AB659</f>
        <v>0</v>
      </c>
      <c r="Y659" s="3"/>
      <c r="Z659" s="3"/>
      <c r="AA659" s="3"/>
      <c r="AB659" s="3">
        <v>0</v>
      </c>
      <c r="AC659" s="3">
        <f>AD659+AE659+AF659+AG659</f>
        <v>0</v>
      </c>
      <c r="AD659" s="3"/>
      <c r="AE659" s="3"/>
      <c r="AF659" s="3"/>
      <c r="AG659" s="3">
        <v>0</v>
      </c>
      <c r="AH659" s="3">
        <f>AI659+AJ659+AK659+AL659</f>
        <v>0</v>
      </c>
      <c r="AI659" s="3"/>
      <c r="AJ659" s="3"/>
      <c r="AK659" s="3"/>
      <c r="AL659" s="3">
        <v>0</v>
      </c>
      <c r="AM659" s="3">
        <f>AN659+AO659+AP659+AQ659</f>
        <v>0</v>
      </c>
      <c r="AN659" s="3"/>
      <c r="AO659" s="3"/>
      <c r="AP659" s="3"/>
      <c r="AQ659" s="3">
        <v>0</v>
      </c>
    </row>
    <row r="660" spans="1:43" ht="35.450000000000003" customHeight="1">
      <c r="A660" s="326" t="s">
        <v>56</v>
      </c>
      <c r="B660" s="75"/>
      <c r="C660" s="330"/>
      <c r="D660" s="117"/>
      <c r="E660" s="117"/>
      <c r="F660" s="64"/>
      <c r="G660" s="331"/>
      <c r="H660" s="159"/>
      <c r="I660" s="64"/>
      <c r="J660" s="64"/>
      <c r="K660" s="223"/>
      <c r="L660" s="3"/>
      <c r="M660" s="87" t="s">
        <v>880</v>
      </c>
      <c r="N660" s="3">
        <f>P660+R660+T660+V660</f>
        <v>194.79999999999998</v>
      </c>
      <c r="O660" s="3">
        <f t="shared" si="155"/>
        <v>184.3</v>
      </c>
      <c r="P660" s="3"/>
      <c r="Q660" s="3"/>
      <c r="R660" s="3">
        <v>19.600000000000001</v>
      </c>
      <c r="S660" s="3">
        <v>19.600000000000001</v>
      </c>
      <c r="T660" s="3"/>
      <c r="U660" s="3"/>
      <c r="V660" s="3">
        <f>175.2+19.5+0.1-19.6</f>
        <v>175.2</v>
      </c>
      <c r="W660" s="3">
        <f>184.3-19.6</f>
        <v>164.70000000000002</v>
      </c>
      <c r="X660" s="3">
        <f>Y660+Z660+AA660+AB660</f>
        <v>213.4</v>
      </c>
      <c r="Y660" s="3"/>
      <c r="Z660" s="3"/>
      <c r="AA660" s="3"/>
      <c r="AB660" s="3">
        <f>185.6+20.9+7-0.1</f>
        <v>213.4</v>
      </c>
      <c r="AC660" s="3">
        <f>AD660+AE660+AF660+AG660</f>
        <v>185.6</v>
      </c>
      <c r="AD660" s="3"/>
      <c r="AE660" s="3"/>
      <c r="AF660" s="3"/>
      <c r="AG660" s="3">
        <v>185.6</v>
      </c>
      <c r="AH660" s="3">
        <f>AI660+AJ660+AK660+AL660</f>
        <v>185.6</v>
      </c>
      <c r="AI660" s="3"/>
      <c r="AJ660" s="3"/>
      <c r="AK660" s="3"/>
      <c r="AL660" s="3">
        <v>185.6</v>
      </c>
      <c r="AM660" s="3">
        <f>AN660+AO660+AP660+AQ660</f>
        <v>185.6</v>
      </c>
      <c r="AN660" s="3"/>
      <c r="AO660" s="3"/>
      <c r="AP660" s="3"/>
      <c r="AQ660" s="3">
        <v>185.6</v>
      </c>
    </row>
    <row r="661" spans="1:43" ht="35.450000000000003" customHeight="1">
      <c r="A661" s="332" t="s">
        <v>881</v>
      </c>
      <c r="B661" s="333">
        <v>2602</v>
      </c>
      <c r="C661" s="183"/>
      <c r="D661" s="334"/>
      <c r="E661" s="184"/>
      <c r="F661" s="184"/>
      <c r="G661" s="184"/>
      <c r="H661" s="184"/>
      <c r="I661" s="335"/>
      <c r="J661" s="335"/>
      <c r="K661" s="335"/>
      <c r="L661" s="184">
        <v>1</v>
      </c>
      <c r="M661" s="87"/>
      <c r="N661" s="126">
        <f t="shared" ref="N661:W661" si="160">N662+N663+N664+N666+N671+N672+N673+N674+N676+N678+N681+N683+N685+N686+N679+N670</f>
        <v>58329.599999999999</v>
      </c>
      <c r="O661" s="126">
        <f t="shared" si="160"/>
        <v>57068.7</v>
      </c>
      <c r="P661" s="126">
        <f t="shared" si="160"/>
        <v>0</v>
      </c>
      <c r="Q661" s="126">
        <f t="shared" si="160"/>
        <v>0</v>
      </c>
      <c r="R661" s="126">
        <f t="shared" si="160"/>
        <v>3652.9</v>
      </c>
      <c r="S661" s="126">
        <f t="shared" si="160"/>
        <v>3652.9</v>
      </c>
      <c r="T661" s="126">
        <f t="shared" si="160"/>
        <v>0</v>
      </c>
      <c r="U661" s="126">
        <f t="shared" si="160"/>
        <v>0</v>
      </c>
      <c r="V661" s="126">
        <f t="shared" si="160"/>
        <v>54676.7</v>
      </c>
      <c r="W661" s="126">
        <f t="shared" si="160"/>
        <v>53415.80000000001</v>
      </c>
      <c r="X661" s="126">
        <f>X662+X663+X664+X665+X667+X668+X669+X671+X672+X673+X674+X675+X676+X677+X678+X679+X680+X681+X682+X683+X684+X685+X686</f>
        <v>68424.3</v>
      </c>
      <c r="Y661" s="126">
        <f>Y662+Y663+Y664+Y665+Y667+Y668+Y669+Y671+Y672+Y673+Y674+Y675+Y676+Y677+Y678+Y679+Y680+Y681+Y682+Y683+Y684+Y685+Y686</f>
        <v>0</v>
      </c>
      <c r="Z661" s="126">
        <f>Z662+Z663+Z664+Z665+Z667+Z668+Z669+Z671+Z672+Z673+Z674+Z675+Z676+Z677+Z678+Z679+Z680+Z681+Z682+Z683+Z684+Z685+Z686</f>
        <v>4298.7</v>
      </c>
      <c r="AA661" s="126">
        <f>AA662+AA663+AA664+AA665+AA667+AA668+AA669+AA671+AA672+AA673+AA674+AA675+AA676+AA677+AA678+AA679+AA680+AA681+AA682+AA683+AA684+AA685+AA686</f>
        <v>0</v>
      </c>
      <c r="AB661" s="126">
        <f>AB662+AB663+AB664+AB665+AB667+AB668+AB669+AB671+AB672+AB673+AB674+AB675+AB676+AB677+AB678+AB679+AB680+AB681+AB682+AB683+AB684+AB685+AB686</f>
        <v>64125.600000000006</v>
      </c>
      <c r="AC661" s="126">
        <f t="shared" ref="AC661:AQ661" si="161">AC662+AC663+AC664+AC666+AC671+AC672+AC673+AC674+AC676+AC678+AC681+AC683+AC685+AC686+AC679+AC670+AC665+AC668+AC669+AC677+AC680+AC684+AC682</f>
        <v>62309.400000000009</v>
      </c>
      <c r="AD661" s="126">
        <f t="shared" si="161"/>
        <v>0</v>
      </c>
      <c r="AE661" s="126">
        <f t="shared" si="161"/>
        <v>0</v>
      </c>
      <c r="AF661" s="126">
        <f t="shared" si="161"/>
        <v>0</v>
      </c>
      <c r="AG661" s="126">
        <f t="shared" si="161"/>
        <v>62309.400000000009</v>
      </c>
      <c r="AH661" s="126">
        <f t="shared" si="161"/>
        <v>62309.400000000009</v>
      </c>
      <c r="AI661" s="126">
        <f t="shared" si="161"/>
        <v>0</v>
      </c>
      <c r="AJ661" s="126">
        <f t="shared" si="161"/>
        <v>0</v>
      </c>
      <c r="AK661" s="126">
        <f t="shared" si="161"/>
        <v>0</v>
      </c>
      <c r="AL661" s="126">
        <f t="shared" si="161"/>
        <v>62309.400000000009</v>
      </c>
      <c r="AM661" s="126">
        <f t="shared" si="161"/>
        <v>62309.400000000009</v>
      </c>
      <c r="AN661" s="126">
        <f t="shared" si="161"/>
        <v>0</v>
      </c>
      <c r="AO661" s="126">
        <f t="shared" si="161"/>
        <v>0</v>
      </c>
      <c r="AP661" s="126">
        <f t="shared" si="161"/>
        <v>0</v>
      </c>
      <c r="AQ661" s="126">
        <f t="shared" si="161"/>
        <v>62309.400000000009</v>
      </c>
    </row>
    <row r="662" spans="1:43" ht="35.450000000000003" customHeight="1">
      <c r="A662" s="326" t="s">
        <v>825</v>
      </c>
      <c r="B662" s="336"/>
      <c r="C662" s="337" t="s">
        <v>826</v>
      </c>
      <c r="D662" s="106" t="s">
        <v>827</v>
      </c>
      <c r="E662" s="106" t="s">
        <v>828</v>
      </c>
      <c r="F662" s="302" t="s">
        <v>829</v>
      </c>
      <c r="G662" s="302" t="s">
        <v>19</v>
      </c>
      <c r="H662" s="302" t="s">
        <v>20</v>
      </c>
      <c r="I662" s="85" t="s">
        <v>21</v>
      </c>
      <c r="J662" s="85"/>
      <c r="K662" s="86" t="s">
        <v>23</v>
      </c>
      <c r="L662" s="3"/>
      <c r="M662" s="125" t="s">
        <v>882</v>
      </c>
      <c r="N662" s="3">
        <f>P662+R662+T662+V662</f>
        <v>714.19999999999993</v>
      </c>
      <c r="O662" s="3">
        <f>Q662+S662+U662+W662</f>
        <v>714.2</v>
      </c>
      <c r="P662" s="3"/>
      <c r="Q662" s="3"/>
      <c r="R662" s="3">
        <v>57.6</v>
      </c>
      <c r="S662" s="3">
        <v>57.6</v>
      </c>
      <c r="T662" s="3"/>
      <c r="U662" s="3"/>
      <c r="V662" s="3">
        <f>590+68+41.8+14.4-57.6</f>
        <v>656.59999999999991</v>
      </c>
      <c r="W662" s="3">
        <f>714.2-57.6</f>
        <v>656.6</v>
      </c>
      <c r="X662" s="3">
        <f t="shared" ref="X662:X669" si="162">Y662+Z662+AA662+AB662</f>
        <v>822</v>
      </c>
      <c r="Y662" s="3"/>
      <c r="Z662" s="3"/>
      <c r="AA662" s="3"/>
      <c r="AB662" s="3">
        <f>760.5+46.1+15.4</f>
        <v>822</v>
      </c>
      <c r="AC662" s="3">
        <f>AD662+AE662+AF662+AG662</f>
        <v>760.5</v>
      </c>
      <c r="AD662" s="3"/>
      <c r="AE662" s="3"/>
      <c r="AF662" s="3"/>
      <c r="AG662" s="3">
        <v>760.5</v>
      </c>
      <c r="AH662" s="3">
        <f>AI662+AJ662+AK662+AL662</f>
        <v>760.5</v>
      </c>
      <c r="AI662" s="3"/>
      <c r="AJ662" s="3"/>
      <c r="AK662" s="3"/>
      <c r="AL662" s="3">
        <v>760.5</v>
      </c>
      <c r="AM662" s="3">
        <f>AN662+AO662+AP662+AQ662</f>
        <v>760.5</v>
      </c>
      <c r="AN662" s="3"/>
      <c r="AO662" s="3"/>
      <c r="AP662" s="3"/>
      <c r="AQ662" s="3">
        <v>760.5</v>
      </c>
    </row>
    <row r="663" spans="1:43" ht="35.450000000000003" customHeight="1" thickBot="1">
      <c r="A663" s="338" t="s">
        <v>825</v>
      </c>
      <c r="B663" s="318"/>
      <c r="C663" s="339"/>
      <c r="D663" s="111"/>
      <c r="E663" s="111"/>
      <c r="F663" s="166"/>
      <c r="G663" s="166"/>
      <c r="H663" s="166"/>
      <c r="I663" s="87" t="s">
        <v>840</v>
      </c>
      <c r="J663" s="312"/>
      <c r="K663" s="313"/>
      <c r="L663" s="3"/>
      <c r="M663" s="87" t="s">
        <v>883</v>
      </c>
      <c r="N663" s="3">
        <f>P663+R663+T663+V663</f>
        <v>1844.4</v>
      </c>
      <c r="O663" s="3">
        <f t="shared" ref="O663:O686" si="163">Q663+S663+U663+W663</f>
        <v>1836.2</v>
      </c>
      <c r="P663" s="3"/>
      <c r="Q663" s="3"/>
      <c r="R663" s="3">
        <v>57.6</v>
      </c>
      <c r="S663" s="3">
        <v>57.6</v>
      </c>
      <c r="T663" s="3"/>
      <c r="U663" s="3"/>
      <c r="V663" s="3">
        <f>1660+78.1+91.9+14.4-57.6</f>
        <v>1786.8000000000002</v>
      </c>
      <c r="W663" s="3">
        <f>1836.2-57.6</f>
        <v>1778.6000000000001</v>
      </c>
      <c r="X663" s="3">
        <f t="shared" si="162"/>
        <v>2455.8000000000002</v>
      </c>
      <c r="Y663" s="3"/>
      <c r="Z663" s="3"/>
      <c r="AA663" s="3"/>
      <c r="AB663" s="3">
        <f>1826.3+46+538.3+15.4+29.8</f>
        <v>2455.8000000000002</v>
      </c>
      <c r="AC663" s="3">
        <f>AD663+AE663+AF663+AG663</f>
        <v>1826.3</v>
      </c>
      <c r="AD663" s="3"/>
      <c r="AE663" s="3"/>
      <c r="AF663" s="3"/>
      <c r="AG663" s="3">
        <v>1826.3</v>
      </c>
      <c r="AH663" s="3">
        <f t="shared" ref="AH663:AH686" si="164">AI663+AJ663+AK663+AL663</f>
        <v>1826.3</v>
      </c>
      <c r="AI663" s="3"/>
      <c r="AJ663" s="3"/>
      <c r="AK663" s="3"/>
      <c r="AL663" s="3">
        <v>1826.3</v>
      </c>
      <c r="AM663" s="3">
        <f t="shared" ref="AM663:AM683" si="165">AN663+AO663+AP663+AQ663</f>
        <v>1826.3</v>
      </c>
      <c r="AN663" s="3"/>
      <c r="AO663" s="3"/>
      <c r="AP663" s="3"/>
      <c r="AQ663" s="3">
        <v>1826.3</v>
      </c>
    </row>
    <row r="664" spans="1:43" ht="35.450000000000003" customHeight="1" thickBot="1">
      <c r="A664" s="338" t="s">
        <v>825</v>
      </c>
      <c r="B664" s="318"/>
      <c r="C664" s="339"/>
      <c r="D664" s="111"/>
      <c r="E664" s="111"/>
      <c r="F664" s="166"/>
      <c r="G664" s="166"/>
      <c r="H664" s="166"/>
      <c r="I664" s="314" t="s">
        <v>842</v>
      </c>
      <c r="J664" s="64" t="s">
        <v>843</v>
      </c>
      <c r="K664" s="223" t="s">
        <v>844</v>
      </c>
      <c r="L664" s="3"/>
      <c r="M664" s="87" t="s">
        <v>884</v>
      </c>
      <c r="N664" s="3">
        <f>P664+R664+T664+V664</f>
        <v>442</v>
      </c>
      <c r="O664" s="3">
        <f t="shared" si="163"/>
        <v>442</v>
      </c>
      <c r="P664" s="3"/>
      <c r="Q664" s="3"/>
      <c r="R664" s="3">
        <v>57.7</v>
      </c>
      <c r="S664" s="3">
        <v>57.7</v>
      </c>
      <c r="T664" s="3"/>
      <c r="U664" s="3"/>
      <c r="V664" s="3">
        <f>311.5+57.8+58.3+14.4-57.7</f>
        <v>384.3</v>
      </c>
      <c r="W664" s="3">
        <f>442-57.7</f>
        <v>384.3</v>
      </c>
      <c r="X664" s="3">
        <f t="shared" si="162"/>
        <v>497.9</v>
      </c>
      <c r="Y664" s="3"/>
      <c r="Z664" s="3"/>
      <c r="AA664" s="3"/>
      <c r="AB664" s="3">
        <f>432+46.1+15.4+4.4</f>
        <v>497.9</v>
      </c>
      <c r="AC664" s="3">
        <f>AD664+AE664+AF664+AG664</f>
        <v>432</v>
      </c>
      <c r="AD664" s="3"/>
      <c r="AE664" s="3"/>
      <c r="AF664" s="3"/>
      <c r="AG664" s="3">
        <v>432</v>
      </c>
      <c r="AH664" s="3">
        <f t="shared" si="164"/>
        <v>432</v>
      </c>
      <c r="AI664" s="3"/>
      <c r="AJ664" s="3"/>
      <c r="AK664" s="3"/>
      <c r="AL664" s="3">
        <v>432</v>
      </c>
      <c r="AM664" s="3">
        <f t="shared" si="165"/>
        <v>432</v>
      </c>
      <c r="AN664" s="3"/>
      <c r="AO664" s="3"/>
      <c r="AP664" s="3"/>
      <c r="AQ664" s="3">
        <v>432</v>
      </c>
    </row>
    <row r="665" spans="1:43" ht="35.450000000000003" customHeight="1" thickBot="1">
      <c r="A665" s="338" t="s">
        <v>825</v>
      </c>
      <c r="B665" s="318"/>
      <c r="C665" s="340"/>
      <c r="D665" s="111"/>
      <c r="E665" s="111"/>
      <c r="F665" s="168"/>
      <c r="G665" s="168"/>
      <c r="H665" s="168"/>
      <c r="I665" s="314"/>
      <c r="J665" s="64"/>
      <c r="K665" s="223"/>
      <c r="L665" s="3"/>
      <c r="M665" s="87" t="s">
        <v>885</v>
      </c>
      <c r="N665" s="3"/>
      <c r="O665" s="3"/>
      <c r="P665" s="3"/>
      <c r="Q665" s="3"/>
      <c r="R665" s="3"/>
      <c r="S665" s="3"/>
      <c r="T665" s="3"/>
      <c r="U665" s="3"/>
      <c r="V665" s="3"/>
      <c r="W665" s="3"/>
      <c r="X665" s="3">
        <f t="shared" si="162"/>
        <v>217.70000000000002</v>
      </c>
      <c r="Y665" s="3"/>
      <c r="Z665" s="3">
        <f>145.3+64.1-0.2+8.5</f>
        <v>217.70000000000002</v>
      </c>
      <c r="AA665" s="3"/>
      <c r="AB665" s="3"/>
      <c r="AC665" s="3"/>
      <c r="AD665" s="3"/>
      <c r="AE665" s="3"/>
      <c r="AF665" s="3"/>
      <c r="AG665" s="3"/>
      <c r="AH665" s="3"/>
      <c r="AI665" s="3"/>
      <c r="AJ665" s="3"/>
      <c r="AK665" s="3"/>
      <c r="AL665" s="3"/>
      <c r="AM665" s="3"/>
      <c r="AN665" s="3"/>
      <c r="AO665" s="3"/>
      <c r="AP665" s="3"/>
      <c r="AQ665" s="3"/>
    </row>
    <row r="666" spans="1:43" ht="35.450000000000003" customHeight="1" thickBot="1">
      <c r="A666" s="338" t="s">
        <v>825</v>
      </c>
      <c r="B666" s="318"/>
      <c r="C666" s="340"/>
      <c r="D666" s="111"/>
      <c r="E666" s="111"/>
      <c r="F666" s="305" t="s">
        <v>838</v>
      </c>
      <c r="G666" s="295" t="s">
        <v>19</v>
      </c>
      <c r="H666" s="164" t="s">
        <v>49</v>
      </c>
      <c r="I666" s="314"/>
      <c r="J666" s="64"/>
      <c r="K666" s="223"/>
      <c r="L666" s="3"/>
      <c r="M666" s="87"/>
      <c r="N666" s="3">
        <f>P666+R666+T666+V666</f>
        <v>0</v>
      </c>
      <c r="O666" s="3">
        <f t="shared" si="163"/>
        <v>0</v>
      </c>
      <c r="P666" s="3"/>
      <c r="Q666" s="3"/>
      <c r="R666" s="3"/>
      <c r="S666" s="3"/>
      <c r="T666" s="3"/>
      <c r="U666" s="3"/>
      <c r="V666" s="3">
        <v>0</v>
      </c>
      <c r="W666" s="3"/>
      <c r="X666" s="3">
        <f t="shared" si="162"/>
        <v>0</v>
      </c>
      <c r="Y666" s="3"/>
      <c r="Z666" s="3"/>
      <c r="AA666" s="3"/>
      <c r="AB666" s="3">
        <v>0</v>
      </c>
      <c r="AC666" s="3">
        <f>AD666+AE666+AF666+AG666</f>
        <v>0</v>
      </c>
      <c r="AD666" s="3"/>
      <c r="AE666" s="3"/>
      <c r="AF666" s="3"/>
      <c r="AG666" s="3">
        <v>0</v>
      </c>
      <c r="AH666" s="3">
        <f t="shared" si="164"/>
        <v>0</v>
      </c>
      <c r="AI666" s="3"/>
      <c r="AJ666" s="3"/>
      <c r="AK666" s="3"/>
      <c r="AL666" s="3">
        <v>0</v>
      </c>
      <c r="AM666" s="3">
        <f t="shared" si="165"/>
        <v>0</v>
      </c>
      <c r="AN666" s="3"/>
      <c r="AO666" s="3"/>
      <c r="AP666" s="3"/>
      <c r="AQ666" s="3">
        <v>0</v>
      </c>
    </row>
    <row r="667" spans="1:43" ht="35.450000000000003" customHeight="1" thickBot="1">
      <c r="A667" s="338" t="s">
        <v>30</v>
      </c>
      <c r="B667" s="318"/>
      <c r="C667" s="340"/>
      <c r="D667" s="111"/>
      <c r="E667" s="111"/>
      <c r="F667" s="166"/>
      <c r="G667" s="166"/>
      <c r="H667" s="166"/>
      <c r="I667" s="314"/>
      <c r="J667" s="64"/>
      <c r="K667" s="223"/>
      <c r="L667" s="3"/>
      <c r="M667" s="87" t="s">
        <v>886</v>
      </c>
      <c r="N667" s="3"/>
      <c r="O667" s="3">
        <f t="shared" si="163"/>
        <v>0</v>
      </c>
      <c r="P667" s="3"/>
      <c r="Q667" s="3"/>
      <c r="R667" s="3"/>
      <c r="S667" s="3"/>
      <c r="T667" s="3"/>
      <c r="U667" s="3"/>
      <c r="V667" s="3"/>
      <c r="W667" s="3"/>
      <c r="X667" s="3">
        <f t="shared" si="162"/>
        <v>0</v>
      </c>
      <c r="Y667" s="3"/>
      <c r="Z667" s="3"/>
      <c r="AA667" s="3"/>
      <c r="AB667" s="3"/>
      <c r="AC667" s="3"/>
      <c r="AD667" s="3"/>
      <c r="AE667" s="3"/>
      <c r="AF667" s="3"/>
      <c r="AG667" s="3"/>
      <c r="AH667" s="3"/>
      <c r="AI667" s="3"/>
      <c r="AJ667" s="3"/>
      <c r="AK667" s="3"/>
      <c r="AL667" s="3"/>
      <c r="AM667" s="3"/>
      <c r="AN667" s="3"/>
      <c r="AO667" s="3"/>
      <c r="AP667" s="3"/>
      <c r="AQ667" s="3"/>
    </row>
    <row r="668" spans="1:43" ht="35.450000000000003" customHeight="1" thickBot="1">
      <c r="A668" s="338" t="s">
        <v>30</v>
      </c>
      <c r="B668" s="318"/>
      <c r="C668" s="340"/>
      <c r="D668" s="341"/>
      <c r="E668" s="341"/>
      <c r="F668" s="166"/>
      <c r="G668" s="166"/>
      <c r="H668" s="166"/>
      <c r="I668" s="64"/>
      <c r="J668" s="312"/>
      <c r="K668" s="313"/>
      <c r="L668" s="3"/>
      <c r="M668" s="87" t="s">
        <v>887</v>
      </c>
      <c r="N668" s="3"/>
      <c r="O668" s="3"/>
      <c r="P668" s="3"/>
      <c r="Q668" s="3"/>
      <c r="R668" s="3"/>
      <c r="S668" s="3"/>
      <c r="T668" s="3"/>
      <c r="U668" s="3"/>
      <c r="V668" s="3"/>
      <c r="W668" s="3"/>
      <c r="X668" s="3">
        <f t="shared" si="162"/>
        <v>192.9</v>
      </c>
      <c r="Y668" s="3"/>
      <c r="Z668" s="3">
        <v>192.9</v>
      </c>
      <c r="AA668" s="3"/>
      <c r="AB668" s="3"/>
      <c r="AC668" s="3"/>
      <c r="AD668" s="3"/>
      <c r="AE668" s="3"/>
      <c r="AF668" s="3"/>
      <c r="AG668" s="3"/>
      <c r="AH668" s="3"/>
      <c r="AI668" s="3"/>
      <c r="AJ668" s="3"/>
      <c r="AK668" s="3"/>
      <c r="AL668" s="3"/>
      <c r="AM668" s="3"/>
      <c r="AN668" s="3"/>
      <c r="AO668" s="3"/>
      <c r="AP668" s="3"/>
      <c r="AQ668" s="3"/>
    </row>
    <row r="669" spans="1:43" ht="35.450000000000003" customHeight="1" thickBot="1">
      <c r="A669" s="338" t="s">
        <v>30</v>
      </c>
      <c r="B669" s="318"/>
      <c r="C669" s="340"/>
      <c r="D669" s="342"/>
      <c r="E669" s="342"/>
      <c r="F669" s="166"/>
      <c r="G669" s="166"/>
      <c r="H669" s="166"/>
      <c r="I669" s="64"/>
      <c r="J669" s="312"/>
      <c r="K669" s="313"/>
      <c r="L669" s="3"/>
      <c r="M669" s="87" t="s">
        <v>888</v>
      </c>
      <c r="N669" s="3"/>
      <c r="O669" s="3"/>
      <c r="P669" s="3"/>
      <c r="Q669" s="3"/>
      <c r="R669" s="3"/>
      <c r="S669" s="3"/>
      <c r="T669" s="3"/>
      <c r="U669" s="3"/>
      <c r="V669" s="3"/>
      <c r="W669" s="3"/>
      <c r="X669" s="3">
        <f t="shared" si="162"/>
        <v>2167.4</v>
      </c>
      <c r="Y669" s="3"/>
      <c r="Z669" s="3">
        <f>2125.4+42</f>
        <v>2167.4</v>
      </c>
      <c r="AA669" s="3"/>
      <c r="AB669" s="3"/>
      <c r="AC669" s="3"/>
      <c r="AD669" s="3"/>
      <c r="AE669" s="3"/>
      <c r="AF669" s="3"/>
      <c r="AG669" s="3"/>
      <c r="AH669" s="3"/>
      <c r="AI669" s="3"/>
      <c r="AJ669" s="3"/>
      <c r="AK669" s="3"/>
      <c r="AL669" s="3"/>
      <c r="AM669" s="3"/>
      <c r="AN669" s="3"/>
      <c r="AO669" s="3"/>
      <c r="AP669" s="3"/>
      <c r="AQ669" s="3"/>
    </row>
    <row r="670" spans="1:43" ht="35.450000000000003" customHeight="1" thickBot="1">
      <c r="A670" s="338" t="s">
        <v>30</v>
      </c>
      <c r="B670" s="318"/>
      <c r="C670" s="343"/>
      <c r="D670" s="344"/>
      <c r="E670" s="344"/>
      <c r="F670" s="168"/>
      <c r="G670" s="168"/>
      <c r="H670" s="168"/>
      <c r="I670" s="64"/>
      <c r="J670" s="312"/>
      <c r="K670" s="313"/>
      <c r="L670" s="3"/>
      <c r="M670" s="87" t="s">
        <v>889</v>
      </c>
      <c r="N670" s="3"/>
      <c r="O670" s="3">
        <f t="shared" si="163"/>
        <v>0</v>
      </c>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row>
    <row r="671" spans="1:43" ht="35.450000000000003" customHeight="1" thickBot="1">
      <c r="A671" s="338" t="s">
        <v>30</v>
      </c>
      <c r="B671" s="318"/>
      <c r="C671" s="175" t="s">
        <v>836</v>
      </c>
      <c r="D671" s="337" t="s">
        <v>19</v>
      </c>
      <c r="E671" s="337" t="s">
        <v>837</v>
      </c>
      <c r="F671" s="3"/>
      <c r="G671" s="3"/>
      <c r="H671" s="3"/>
      <c r="I671" s="87"/>
      <c r="J671" s="102"/>
      <c r="K671" s="102"/>
      <c r="L671" s="3"/>
      <c r="M671" s="87" t="s">
        <v>890</v>
      </c>
      <c r="N671" s="3">
        <f t="shared" ref="N671:N683" si="166">P671+R671+T671+V671</f>
        <v>2149</v>
      </c>
      <c r="O671" s="3">
        <f t="shared" si="163"/>
        <v>2149</v>
      </c>
      <c r="P671" s="3"/>
      <c r="Q671" s="3"/>
      <c r="R671" s="3">
        <v>57.6</v>
      </c>
      <c r="S671" s="3">
        <v>57.6</v>
      </c>
      <c r="T671" s="3"/>
      <c r="U671" s="3"/>
      <c r="V671" s="3">
        <f>1768.7+123.5+81+160+14.4+1.4-57.6</f>
        <v>2091.4</v>
      </c>
      <c r="W671" s="3">
        <f>2149-57.6</f>
        <v>2091.4</v>
      </c>
      <c r="X671" s="3">
        <f t="shared" ref="X671:X684" si="167">Y671+Z671+AA671+AB671</f>
        <v>2680.7000000000003</v>
      </c>
      <c r="Y671" s="3"/>
      <c r="Z671" s="3"/>
      <c r="AA671" s="3"/>
      <c r="AB671" s="3">
        <f>1984+681.3+15.4</f>
        <v>2680.7000000000003</v>
      </c>
      <c r="AC671" s="3">
        <f t="shared" ref="AC671:AC683" si="168">AD671+AE671+AF671+AG671</f>
        <v>1984</v>
      </c>
      <c r="AD671" s="3"/>
      <c r="AE671" s="3"/>
      <c r="AF671" s="3"/>
      <c r="AG671" s="3">
        <v>1984</v>
      </c>
      <c r="AH671" s="3">
        <f t="shared" si="164"/>
        <v>1984</v>
      </c>
      <c r="AI671" s="3"/>
      <c r="AJ671" s="3"/>
      <c r="AK671" s="3"/>
      <c r="AL671" s="3">
        <v>1984</v>
      </c>
      <c r="AM671" s="3">
        <f t="shared" si="165"/>
        <v>1984</v>
      </c>
      <c r="AN671" s="3"/>
      <c r="AO671" s="3"/>
      <c r="AP671" s="3"/>
      <c r="AQ671" s="3">
        <v>1984</v>
      </c>
    </row>
    <row r="672" spans="1:43" ht="35.450000000000003" customHeight="1" thickBot="1">
      <c r="A672" s="338" t="s">
        <v>30</v>
      </c>
      <c r="B672" s="318"/>
      <c r="C672" s="166"/>
      <c r="D672" s="339"/>
      <c r="E672" s="339"/>
      <c r="F672" s="87"/>
      <c r="G672" s="3"/>
      <c r="H672" s="3"/>
      <c r="I672" s="196"/>
      <c r="J672" s="3"/>
      <c r="K672" s="3"/>
      <c r="L672" s="3"/>
      <c r="M672" s="87" t="s">
        <v>891</v>
      </c>
      <c r="N672" s="3">
        <f t="shared" si="166"/>
        <v>25444.799999999999</v>
      </c>
      <c r="O672" s="3">
        <f t="shared" si="163"/>
        <v>24575.5</v>
      </c>
      <c r="P672" s="3"/>
      <c r="Q672" s="3"/>
      <c r="R672" s="3">
        <v>1339.2</v>
      </c>
      <c r="S672" s="3">
        <v>1339.2</v>
      </c>
      <c r="T672" s="3"/>
      <c r="U672" s="3"/>
      <c r="V672" s="3">
        <f>21500+2844.8+1250-150-1339.2</f>
        <v>24105.599999999999</v>
      </c>
      <c r="W672" s="3">
        <f>24575.5-1339.2</f>
        <v>23236.3</v>
      </c>
      <c r="X672" s="3">
        <f t="shared" si="167"/>
        <v>28138.2</v>
      </c>
      <c r="Y672" s="3"/>
      <c r="Z672" s="3"/>
      <c r="AA672" s="3"/>
      <c r="AB672" s="3">
        <f>28395+1382.4+460.8-2100</f>
        <v>28138.2</v>
      </c>
      <c r="AC672" s="3">
        <f t="shared" si="168"/>
        <v>28395</v>
      </c>
      <c r="AD672" s="3"/>
      <c r="AE672" s="3"/>
      <c r="AF672" s="3"/>
      <c r="AG672" s="3">
        <v>28395</v>
      </c>
      <c r="AH672" s="3">
        <f t="shared" si="164"/>
        <v>28395</v>
      </c>
      <c r="AI672" s="3"/>
      <c r="AJ672" s="3"/>
      <c r="AK672" s="3"/>
      <c r="AL672" s="3">
        <v>28395</v>
      </c>
      <c r="AM672" s="3">
        <f t="shared" si="165"/>
        <v>28395</v>
      </c>
      <c r="AN672" s="3"/>
      <c r="AO672" s="3"/>
      <c r="AP672" s="3"/>
      <c r="AQ672" s="3">
        <v>28395</v>
      </c>
    </row>
    <row r="673" spans="1:43" ht="35.450000000000003" customHeight="1" thickBot="1">
      <c r="A673" s="338" t="s">
        <v>30</v>
      </c>
      <c r="B673" s="318"/>
      <c r="C673" s="168"/>
      <c r="D673" s="345"/>
      <c r="E673" s="345"/>
      <c r="F673" s="87"/>
      <c r="G673" s="3"/>
      <c r="H673" s="3"/>
      <c r="I673" s="196"/>
      <c r="J673" s="3"/>
      <c r="K673" s="3"/>
      <c r="L673" s="3"/>
      <c r="M673" s="87" t="s">
        <v>892</v>
      </c>
      <c r="N673" s="3">
        <f t="shared" si="166"/>
        <v>7771.0000000000009</v>
      </c>
      <c r="O673" s="3">
        <f t="shared" si="163"/>
        <v>7769</v>
      </c>
      <c r="P673" s="3"/>
      <c r="Q673" s="3"/>
      <c r="R673" s="3">
        <v>860.9</v>
      </c>
      <c r="S673" s="3">
        <v>860.9</v>
      </c>
      <c r="T673" s="3"/>
      <c r="U673" s="3"/>
      <c r="V673" s="3">
        <f>6650+803.3+120+57.6+140.1-860.9</f>
        <v>6910.1000000000013</v>
      </c>
      <c r="W673" s="3">
        <f>7769-860.9</f>
        <v>6908.1</v>
      </c>
      <c r="X673" s="3">
        <f t="shared" si="167"/>
        <v>8553.9</v>
      </c>
      <c r="Y673" s="3"/>
      <c r="Z673" s="3"/>
      <c r="AA673" s="3"/>
      <c r="AB673" s="3">
        <f>7476.5+875.5-90+291.9</f>
        <v>8553.9</v>
      </c>
      <c r="AC673" s="3">
        <f t="shared" si="168"/>
        <v>7476.5</v>
      </c>
      <c r="AD673" s="3"/>
      <c r="AE673" s="3"/>
      <c r="AF673" s="3"/>
      <c r="AG673" s="3">
        <v>7476.5</v>
      </c>
      <c r="AH673" s="3">
        <f t="shared" si="164"/>
        <v>7476.5</v>
      </c>
      <c r="AI673" s="3"/>
      <c r="AJ673" s="3"/>
      <c r="AK673" s="3"/>
      <c r="AL673" s="3">
        <v>7476.5</v>
      </c>
      <c r="AM673" s="3">
        <f t="shared" si="165"/>
        <v>7476.5</v>
      </c>
      <c r="AN673" s="3"/>
      <c r="AO673" s="3"/>
      <c r="AP673" s="3"/>
      <c r="AQ673" s="3">
        <v>7476.5</v>
      </c>
    </row>
    <row r="674" spans="1:43" ht="35.450000000000003" customHeight="1" thickBot="1">
      <c r="A674" s="338" t="s">
        <v>483</v>
      </c>
      <c r="B674" s="318"/>
      <c r="C674" s="4"/>
      <c r="D674" s="4"/>
      <c r="E674" s="4"/>
      <c r="F674" s="4"/>
      <c r="G674" s="4"/>
      <c r="H674" s="4"/>
      <c r="I674" s="4" t="s">
        <v>1271</v>
      </c>
      <c r="J674" s="4" t="s">
        <v>277</v>
      </c>
      <c r="K674" s="4"/>
      <c r="L674" s="3"/>
      <c r="M674" s="87" t="s">
        <v>893</v>
      </c>
      <c r="N674" s="3">
        <f t="shared" si="166"/>
        <v>3005.9</v>
      </c>
      <c r="O674" s="3">
        <f t="shared" si="163"/>
        <v>2968.9</v>
      </c>
      <c r="P674" s="3"/>
      <c r="Q674" s="3"/>
      <c r="R674" s="3">
        <v>172.8</v>
      </c>
      <c r="S674" s="3">
        <v>172.8</v>
      </c>
      <c r="T674" s="3"/>
      <c r="U674" s="3"/>
      <c r="V674" s="3">
        <f>2628.4+288.2+119.3-30-172.8</f>
        <v>2833.1</v>
      </c>
      <c r="W674" s="3">
        <f>2968.9-172.8</f>
        <v>2796.1</v>
      </c>
      <c r="X674" s="3">
        <f t="shared" si="167"/>
        <v>3339</v>
      </c>
      <c r="Y674" s="3"/>
      <c r="Z674" s="3"/>
      <c r="AA674" s="3"/>
      <c r="AB674" s="3">
        <f>3093.5+184.3+61.2</f>
        <v>3339</v>
      </c>
      <c r="AC674" s="3">
        <f t="shared" si="168"/>
        <v>3093.5</v>
      </c>
      <c r="AD674" s="3"/>
      <c r="AE674" s="3"/>
      <c r="AF674" s="3"/>
      <c r="AG674" s="3">
        <v>3093.5</v>
      </c>
      <c r="AH674" s="3">
        <f>AI674+AJ674+AK674+AL674</f>
        <v>3093.5</v>
      </c>
      <c r="AI674" s="3"/>
      <c r="AJ674" s="3"/>
      <c r="AK674" s="3"/>
      <c r="AL674" s="3">
        <v>3093.5</v>
      </c>
      <c r="AM674" s="3">
        <f t="shared" si="165"/>
        <v>3093.5</v>
      </c>
      <c r="AN674" s="3"/>
      <c r="AO674" s="3"/>
      <c r="AP674" s="3"/>
      <c r="AQ674" s="3">
        <v>3093.5</v>
      </c>
    </row>
    <row r="675" spans="1:43" ht="35.450000000000003" customHeight="1" thickBot="1">
      <c r="A675" s="338" t="s">
        <v>483</v>
      </c>
      <c r="B675" s="318"/>
      <c r="C675" s="4"/>
      <c r="D675" s="4"/>
      <c r="E675" s="4"/>
      <c r="F675" s="4"/>
      <c r="G675" s="4"/>
      <c r="H675" s="4"/>
      <c r="I675" s="4"/>
      <c r="J675" s="4"/>
      <c r="K675" s="4"/>
      <c r="L675" s="3"/>
      <c r="M675" s="87" t="s">
        <v>894</v>
      </c>
      <c r="N675" s="3"/>
      <c r="O675" s="3"/>
      <c r="P675" s="3"/>
      <c r="Q675" s="3"/>
      <c r="R675" s="3"/>
      <c r="S675" s="3"/>
      <c r="T675" s="3"/>
      <c r="U675" s="3"/>
      <c r="V675" s="3"/>
      <c r="W675" s="3"/>
      <c r="X675" s="3">
        <f t="shared" si="167"/>
        <v>286.3</v>
      </c>
      <c r="Y675" s="3"/>
      <c r="Z675" s="3">
        <v>286.3</v>
      </c>
      <c r="AA675" s="3"/>
      <c r="AB675" s="3"/>
      <c r="AC675" s="3"/>
      <c r="AD675" s="3"/>
      <c r="AE675" s="3"/>
      <c r="AF675" s="3"/>
      <c r="AG675" s="3"/>
      <c r="AH675" s="3"/>
      <c r="AI675" s="3"/>
      <c r="AJ675" s="3"/>
      <c r="AK675" s="3"/>
      <c r="AL675" s="3"/>
      <c r="AM675" s="3"/>
      <c r="AN675" s="3"/>
      <c r="AO675" s="3"/>
      <c r="AP675" s="3"/>
      <c r="AQ675" s="3"/>
    </row>
    <row r="676" spans="1:43" ht="35.450000000000003" customHeight="1" thickBot="1">
      <c r="A676" s="338" t="s">
        <v>483</v>
      </c>
      <c r="B676" s="318"/>
      <c r="C676" s="4"/>
      <c r="D676" s="4"/>
      <c r="E676" s="4"/>
      <c r="F676" s="4"/>
      <c r="G676" s="4"/>
      <c r="H676" s="4"/>
      <c r="I676" s="240"/>
      <c r="J676" s="4"/>
      <c r="K676" s="4"/>
      <c r="L676" s="3"/>
      <c r="M676" s="87" t="s">
        <v>895</v>
      </c>
      <c r="N676" s="3">
        <f t="shared" si="166"/>
        <v>390.6</v>
      </c>
      <c r="O676" s="3">
        <f t="shared" si="163"/>
        <v>385.7</v>
      </c>
      <c r="P676" s="3"/>
      <c r="Q676" s="3"/>
      <c r="R676" s="3">
        <v>43.2</v>
      </c>
      <c r="S676" s="3">
        <v>43.2</v>
      </c>
      <c r="T676" s="3"/>
      <c r="U676" s="3"/>
      <c r="V676" s="3">
        <f>317.1+59+14.5-43.2</f>
        <v>347.40000000000003</v>
      </c>
      <c r="W676" s="3">
        <f>385.7-43.2</f>
        <v>342.5</v>
      </c>
      <c r="X676" s="3">
        <f t="shared" si="167"/>
        <v>466.5</v>
      </c>
      <c r="Y676" s="3"/>
      <c r="Z676" s="3"/>
      <c r="AA676" s="3"/>
      <c r="AB676" s="3">
        <f>405+46.1+15.4</f>
        <v>466.5</v>
      </c>
      <c r="AC676" s="3">
        <f t="shared" si="168"/>
        <v>405</v>
      </c>
      <c r="AD676" s="3"/>
      <c r="AE676" s="3"/>
      <c r="AF676" s="3"/>
      <c r="AG676" s="3">
        <v>405</v>
      </c>
      <c r="AH676" s="3">
        <f t="shared" si="164"/>
        <v>405</v>
      </c>
      <c r="AI676" s="3"/>
      <c r="AJ676" s="3"/>
      <c r="AK676" s="3"/>
      <c r="AL676" s="3">
        <v>405</v>
      </c>
      <c r="AM676" s="3">
        <f t="shared" si="165"/>
        <v>405</v>
      </c>
      <c r="AN676" s="3"/>
      <c r="AO676" s="3"/>
      <c r="AP676" s="3"/>
      <c r="AQ676" s="3">
        <v>405</v>
      </c>
    </row>
    <row r="677" spans="1:43" ht="35.450000000000003" customHeight="1" thickBot="1">
      <c r="A677" s="338" t="s">
        <v>564</v>
      </c>
      <c r="B677" s="318"/>
      <c r="C677" s="4"/>
      <c r="D677" s="4"/>
      <c r="E677" s="4"/>
      <c r="F677" s="4"/>
      <c r="G677" s="4"/>
      <c r="H677" s="4"/>
      <c r="I677" s="64" t="s">
        <v>1268</v>
      </c>
      <c r="J677" s="64" t="s">
        <v>277</v>
      </c>
      <c r="K677" s="4"/>
      <c r="L677" s="3"/>
      <c r="M677" s="87" t="s">
        <v>896</v>
      </c>
      <c r="N677" s="3"/>
      <c r="O677" s="3"/>
      <c r="P677" s="3"/>
      <c r="Q677" s="3"/>
      <c r="R677" s="3"/>
      <c r="S677" s="3"/>
      <c r="T677" s="3"/>
      <c r="U677" s="3"/>
      <c r="V677" s="3"/>
      <c r="W677" s="3"/>
      <c r="X677" s="3">
        <f t="shared" si="167"/>
        <v>273.3</v>
      </c>
      <c r="Y677" s="3"/>
      <c r="Z677" s="3">
        <v>273.3</v>
      </c>
      <c r="AA677" s="3"/>
      <c r="AB677" s="3"/>
      <c r="AC677" s="3"/>
      <c r="AD677" s="3"/>
      <c r="AE677" s="3"/>
      <c r="AF677" s="3"/>
      <c r="AG677" s="3"/>
      <c r="AH677" s="3"/>
      <c r="AI677" s="3"/>
      <c r="AJ677" s="3"/>
      <c r="AK677" s="3"/>
      <c r="AL677" s="3"/>
      <c r="AM677" s="3"/>
      <c r="AN677" s="3"/>
      <c r="AO677" s="3"/>
      <c r="AP677" s="3"/>
      <c r="AQ677" s="3"/>
    </row>
    <row r="678" spans="1:43" ht="35.450000000000003" customHeight="1" thickBot="1">
      <c r="A678" s="338" t="s">
        <v>564</v>
      </c>
      <c r="B678" s="318"/>
      <c r="C678" s="64"/>
      <c r="D678" s="64"/>
      <c r="E678" s="64"/>
      <c r="F678" s="64"/>
      <c r="G678" s="64"/>
      <c r="H678" s="64"/>
      <c r="I678" s="235"/>
      <c r="J678" s="64"/>
      <c r="K678" s="63"/>
      <c r="L678" s="3"/>
      <c r="M678" s="87" t="s">
        <v>897</v>
      </c>
      <c r="N678" s="3">
        <f t="shared" si="166"/>
        <v>2600.1</v>
      </c>
      <c r="O678" s="3">
        <f t="shared" si="163"/>
        <v>2480.6</v>
      </c>
      <c r="P678" s="3"/>
      <c r="Q678" s="3"/>
      <c r="R678" s="3">
        <v>172.8</v>
      </c>
      <c r="S678" s="3">
        <v>172.8</v>
      </c>
      <c r="T678" s="3"/>
      <c r="U678" s="3"/>
      <c r="V678" s="3">
        <f>2485.7+284.1+112.9-282.6-172.8</f>
        <v>2427.2999999999997</v>
      </c>
      <c r="W678" s="3">
        <f>2480.6-172.8</f>
        <v>2307.7999999999997</v>
      </c>
      <c r="X678" s="3">
        <f t="shared" si="167"/>
        <v>2029.5000000000002</v>
      </c>
      <c r="Y678" s="3"/>
      <c r="Z678" s="3"/>
      <c r="AA678" s="3"/>
      <c r="AB678" s="3">
        <f>2917.8+676.2-90-1000+20.9-34.6-460.8</f>
        <v>2029.5000000000002</v>
      </c>
      <c r="AC678" s="3">
        <f t="shared" si="168"/>
        <v>2917.8</v>
      </c>
      <c r="AD678" s="3"/>
      <c r="AE678" s="3"/>
      <c r="AF678" s="3"/>
      <c r="AG678" s="3">
        <v>2917.8</v>
      </c>
      <c r="AH678" s="3">
        <f t="shared" si="164"/>
        <v>2917.8</v>
      </c>
      <c r="AI678" s="3"/>
      <c r="AJ678" s="3"/>
      <c r="AK678" s="3"/>
      <c r="AL678" s="3">
        <v>2917.8</v>
      </c>
      <c r="AM678" s="3">
        <f t="shared" si="165"/>
        <v>2917.8</v>
      </c>
      <c r="AN678" s="3"/>
      <c r="AO678" s="3"/>
      <c r="AP678" s="3"/>
      <c r="AQ678" s="3">
        <v>2917.8</v>
      </c>
    </row>
    <row r="679" spans="1:43" ht="35.450000000000003" customHeight="1" thickBot="1">
      <c r="A679" s="338" t="s">
        <v>864</v>
      </c>
      <c r="B679" s="318"/>
      <c r="C679" s="346"/>
      <c r="D679" s="346"/>
      <c r="E679" s="346"/>
      <c r="F679" s="346"/>
      <c r="G679" s="346"/>
      <c r="H679" s="346"/>
      <c r="I679" s="64" t="s">
        <v>1281</v>
      </c>
      <c r="J679" s="312" t="s">
        <v>153</v>
      </c>
      <c r="K679" s="347"/>
      <c r="L679" s="3"/>
      <c r="M679" s="87" t="s">
        <v>898</v>
      </c>
      <c r="N679" s="3">
        <f t="shared" si="166"/>
        <v>1340.7</v>
      </c>
      <c r="O679" s="3">
        <f t="shared" si="163"/>
        <v>1340.7</v>
      </c>
      <c r="P679" s="3"/>
      <c r="Q679" s="3"/>
      <c r="R679" s="3">
        <v>86.4</v>
      </c>
      <c r="S679" s="3">
        <v>86.4</v>
      </c>
      <c r="T679" s="3"/>
      <c r="U679" s="3"/>
      <c r="V679" s="3">
        <f>1530.1+159.5-226.3-0.3-122.3-86.4</f>
        <v>1254.3</v>
      </c>
      <c r="W679" s="3">
        <f>1340.7-86.4</f>
        <v>1254.3</v>
      </c>
      <c r="X679" s="3">
        <f t="shared" si="167"/>
        <v>1463.5</v>
      </c>
      <c r="Y679" s="3"/>
      <c r="Z679" s="3"/>
      <c r="AA679" s="3"/>
      <c r="AB679" s="3">
        <f>2410.4-538.3-408.6</f>
        <v>1463.5</v>
      </c>
      <c r="AC679" s="3">
        <f t="shared" si="168"/>
        <v>2410.4</v>
      </c>
      <c r="AD679" s="3"/>
      <c r="AE679" s="3"/>
      <c r="AF679" s="3"/>
      <c r="AG679" s="3">
        <v>2410.4</v>
      </c>
      <c r="AH679" s="3">
        <f t="shared" si="164"/>
        <v>2410.4</v>
      </c>
      <c r="AI679" s="3"/>
      <c r="AJ679" s="3"/>
      <c r="AK679" s="3"/>
      <c r="AL679" s="3">
        <v>2410.4</v>
      </c>
      <c r="AM679" s="3">
        <f t="shared" si="165"/>
        <v>2410.4</v>
      </c>
      <c r="AN679" s="3"/>
      <c r="AO679" s="3"/>
      <c r="AP679" s="3"/>
      <c r="AQ679" s="3">
        <v>2410.4</v>
      </c>
    </row>
    <row r="680" spans="1:43" ht="35.450000000000003" customHeight="1" thickBot="1">
      <c r="A680" s="338" t="s">
        <v>864</v>
      </c>
      <c r="B680" s="318"/>
      <c r="C680" s="346"/>
      <c r="D680" s="346"/>
      <c r="E680" s="346"/>
      <c r="F680" s="346"/>
      <c r="G680" s="346"/>
      <c r="H680" s="346"/>
      <c r="I680" s="134"/>
      <c r="J680" s="348"/>
      <c r="K680" s="347"/>
      <c r="L680" s="3"/>
      <c r="M680" s="87" t="s">
        <v>899</v>
      </c>
      <c r="N680" s="3"/>
      <c r="O680" s="3"/>
      <c r="P680" s="3"/>
      <c r="Q680" s="3"/>
      <c r="R680" s="3"/>
      <c r="S680" s="3"/>
      <c r="T680" s="3"/>
      <c r="U680" s="3"/>
      <c r="V680" s="3"/>
      <c r="W680" s="3"/>
      <c r="X680" s="3">
        <f t="shared" si="167"/>
        <v>145.19999999999999</v>
      </c>
      <c r="Y680" s="3"/>
      <c r="Z680" s="3">
        <f>72.6+72.6</f>
        <v>145.19999999999999</v>
      </c>
      <c r="AA680" s="3"/>
      <c r="AB680" s="3"/>
      <c r="AC680" s="3"/>
      <c r="AD680" s="3"/>
      <c r="AE680" s="3"/>
      <c r="AF680" s="3"/>
      <c r="AG680" s="3"/>
      <c r="AH680" s="3"/>
      <c r="AI680" s="3"/>
      <c r="AJ680" s="3"/>
      <c r="AK680" s="3"/>
      <c r="AL680" s="3"/>
      <c r="AM680" s="3"/>
      <c r="AN680" s="3"/>
      <c r="AO680" s="3"/>
      <c r="AP680" s="3"/>
      <c r="AQ680" s="3"/>
    </row>
    <row r="681" spans="1:43" ht="35.450000000000003" customHeight="1" thickBot="1">
      <c r="A681" s="338" t="s">
        <v>869</v>
      </c>
      <c r="B681" s="318"/>
      <c r="C681" s="64"/>
      <c r="D681" s="64"/>
      <c r="E681" s="64"/>
      <c r="F681" s="64"/>
      <c r="G681" s="64"/>
      <c r="H681" s="64"/>
      <c r="I681" s="64" t="s">
        <v>1256</v>
      </c>
      <c r="J681" s="64" t="s">
        <v>277</v>
      </c>
      <c r="K681" s="208"/>
      <c r="L681" s="3"/>
      <c r="M681" s="87" t="s">
        <v>900</v>
      </c>
      <c r="N681" s="3">
        <f t="shared" si="166"/>
        <v>2500.3000000000002</v>
      </c>
      <c r="O681" s="3">
        <f t="shared" si="163"/>
        <v>2463</v>
      </c>
      <c r="P681" s="3"/>
      <c r="Q681" s="3"/>
      <c r="R681" s="3">
        <v>155.1</v>
      </c>
      <c r="S681" s="3">
        <v>155.1</v>
      </c>
      <c r="T681" s="3"/>
      <c r="U681" s="3"/>
      <c r="V681" s="3">
        <f>2150.9+226.3+97.7+25.4-155.1</f>
        <v>2345.2000000000003</v>
      </c>
      <c r="W681" s="3">
        <f>2463-155.1</f>
        <v>2307.9</v>
      </c>
      <c r="X681" s="3">
        <f t="shared" si="167"/>
        <v>2723.3000000000006</v>
      </c>
      <c r="Y681" s="3"/>
      <c r="Z681" s="3"/>
      <c r="AA681" s="3"/>
      <c r="AB681" s="3">
        <f>2522+138.3+394.9-261.2-70.7</f>
        <v>2723.3000000000006</v>
      </c>
      <c r="AC681" s="3">
        <f t="shared" si="168"/>
        <v>2522</v>
      </c>
      <c r="AD681" s="3"/>
      <c r="AE681" s="3"/>
      <c r="AF681" s="3"/>
      <c r="AG681" s="3">
        <v>2522</v>
      </c>
      <c r="AH681" s="3">
        <f t="shared" si="164"/>
        <v>2522</v>
      </c>
      <c r="AI681" s="3"/>
      <c r="AJ681" s="3"/>
      <c r="AK681" s="3"/>
      <c r="AL681" s="3">
        <v>2522</v>
      </c>
      <c r="AM681" s="3">
        <f t="shared" si="165"/>
        <v>2522</v>
      </c>
      <c r="AN681" s="3"/>
      <c r="AO681" s="3"/>
      <c r="AP681" s="3"/>
      <c r="AQ681" s="3">
        <v>2522</v>
      </c>
    </row>
    <row r="682" spans="1:43" ht="35.450000000000003" customHeight="1" thickBot="1">
      <c r="A682" s="338" t="s">
        <v>869</v>
      </c>
      <c r="B682" s="318"/>
      <c r="C682" s="64"/>
      <c r="D682" s="64"/>
      <c r="E682" s="64"/>
      <c r="F682" s="64"/>
      <c r="G682" s="64"/>
      <c r="H682" s="64"/>
      <c r="I682" s="84" t="s">
        <v>290</v>
      </c>
      <c r="J682" s="64" t="s">
        <v>277</v>
      </c>
      <c r="K682" s="208"/>
      <c r="L682" s="3"/>
      <c r="M682" s="87" t="s">
        <v>901</v>
      </c>
      <c r="N682" s="3"/>
      <c r="O682" s="3"/>
      <c r="P682" s="3"/>
      <c r="Q682" s="3"/>
      <c r="R682" s="3"/>
      <c r="S682" s="3"/>
      <c r="T682" s="3"/>
      <c r="U682" s="3"/>
      <c r="V682" s="3"/>
      <c r="W682" s="3"/>
      <c r="X682" s="3">
        <f t="shared" si="167"/>
        <v>217.7</v>
      </c>
      <c r="Y682" s="3"/>
      <c r="Z682" s="3">
        <v>217.7</v>
      </c>
      <c r="AA682" s="3"/>
      <c r="AB682" s="3"/>
      <c r="AC682" s="3"/>
      <c r="AD682" s="3"/>
      <c r="AE682" s="3"/>
      <c r="AF682" s="3"/>
      <c r="AG682" s="3"/>
      <c r="AH682" s="3"/>
      <c r="AI682" s="3"/>
      <c r="AJ682" s="3"/>
      <c r="AK682" s="3"/>
      <c r="AL682" s="3"/>
      <c r="AM682" s="3"/>
      <c r="AN682" s="3"/>
      <c r="AO682" s="3"/>
      <c r="AP682" s="3"/>
      <c r="AQ682" s="3"/>
    </row>
    <row r="683" spans="1:43" ht="35.450000000000003" customHeight="1" thickBot="1">
      <c r="A683" s="338" t="s">
        <v>869</v>
      </c>
      <c r="B683" s="318"/>
      <c r="C683" s="64"/>
      <c r="D683" s="64"/>
      <c r="E683" s="64"/>
      <c r="F683" s="64"/>
      <c r="G683" s="64"/>
      <c r="H683" s="64"/>
      <c r="I683" s="327" t="s">
        <v>1279</v>
      </c>
      <c r="J683" s="64"/>
      <c r="K683" s="208"/>
      <c r="L683" s="3"/>
      <c r="M683" s="87" t="s">
        <v>902</v>
      </c>
      <c r="N683" s="3">
        <f t="shared" si="166"/>
        <v>481.7</v>
      </c>
      <c r="O683" s="3">
        <f t="shared" si="163"/>
        <v>472.3</v>
      </c>
      <c r="P683" s="3"/>
      <c r="Q683" s="3"/>
      <c r="R683" s="3">
        <v>52</v>
      </c>
      <c r="S683" s="3">
        <v>52</v>
      </c>
      <c r="T683" s="3"/>
      <c r="U683" s="3"/>
      <c r="V683" s="3">
        <f>391.2+63.8+17.9+8.8-52</f>
        <v>429.7</v>
      </c>
      <c r="W683" s="3">
        <f>472.3-52</f>
        <v>420.3</v>
      </c>
      <c r="X683" s="3">
        <f t="shared" si="167"/>
        <v>587.19999999999993</v>
      </c>
      <c r="Y683" s="3"/>
      <c r="Z683" s="3"/>
      <c r="AA683" s="3"/>
      <c r="AB683" s="3">
        <f>486.4+46.1+39.3+15.4</f>
        <v>587.19999999999993</v>
      </c>
      <c r="AC683" s="3">
        <f t="shared" si="168"/>
        <v>486.4</v>
      </c>
      <c r="AD683" s="3"/>
      <c r="AE683" s="3"/>
      <c r="AF683" s="3"/>
      <c r="AG683" s="3">
        <v>486.4</v>
      </c>
      <c r="AH683" s="3">
        <f t="shared" si="164"/>
        <v>486.4</v>
      </c>
      <c r="AI683" s="3"/>
      <c r="AJ683" s="3"/>
      <c r="AK683" s="3"/>
      <c r="AL683" s="3">
        <v>486.4</v>
      </c>
      <c r="AM683" s="3">
        <f t="shared" si="165"/>
        <v>486.4</v>
      </c>
      <c r="AN683" s="3"/>
      <c r="AO683" s="3"/>
      <c r="AP683" s="3"/>
      <c r="AQ683" s="3">
        <v>486.4</v>
      </c>
    </row>
    <row r="684" spans="1:43" ht="35.450000000000003" customHeight="1">
      <c r="A684" s="323" t="s">
        <v>56</v>
      </c>
      <c r="B684" s="318"/>
      <c r="C684" s="135"/>
      <c r="D684" s="130"/>
      <c r="E684" s="130"/>
      <c r="F684" s="135"/>
      <c r="G684" s="64"/>
      <c r="H684" s="64"/>
      <c r="I684" s="64" t="s">
        <v>1280</v>
      </c>
      <c r="J684" s="64"/>
      <c r="K684" s="214"/>
      <c r="L684" s="3"/>
      <c r="M684" s="87" t="s">
        <v>903</v>
      </c>
      <c r="N684" s="3"/>
      <c r="O684" s="3">
        <f t="shared" si="163"/>
        <v>0</v>
      </c>
      <c r="P684" s="3"/>
      <c r="Q684" s="3"/>
      <c r="R684" s="3"/>
      <c r="S684" s="3"/>
      <c r="T684" s="3"/>
      <c r="U684" s="3"/>
      <c r="V684" s="3"/>
      <c r="W684" s="3"/>
      <c r="X684" s="3">
        <f t="shared" si="167"/>
        <v>798.2</v>
      </c>
      <c r="Y684" s="3"/>
      <c r="Z684" s="3">
        <v>798.2</v>
      </c>
      <c r="AA684" s="3"/>
      <c r="AB684" s="3"/>
      <c r="AC684" s="3"/>
      <c r="AD684" s="3"/>
      <c r="AE684" s="3"/>
      <c r="AF684" s="3"/>
      <c r="AG684" s="3"/>
      <c r="AH684" s="3"/>
      <c r="AI684" s="3"/>
      <c r="AJ684" s="3"/>
      <c r="AK684" s="3"/>
      <c r="AL684" s="3"/>
      <c r="AM684" s="3"/>
      <c r="AN684" s="3"/>
      <c r="AO684" s="3"/>
      <c r="AP684" s="3"/>
      <c r="AQ684" s="3"/>
    </row>
    <row r="685" spans="1:43" ht="35.450000000000003" customHeight="1">
      <c r="A685" s="326" t="s">
        <v>56</v>
      </c>
      <c r="B685" s="75"/>
      <c r="C685" s="349"/>
      <c r="D685" s="350"/>
      <c r="E685" s="350"/>
      <c r="F685" s="351"/>
      <c r="G685" s="127"/>
      <c r="H685" s="221"/>
      <c r="I685" s="352"/>
      <c r="J685" s="353"/>
      <c r="K685" s="354"/>
      <c r="L685" s="3"/>
      <c r="M685" s="87" t="s">
        <v>904</v>
      </c>
      <c r="N685" s="3">
        <f>P685+R685+T685+V685</f>
        <v>9000.1</v>
      </c>
      <c r="O685" s="3">
        <f t="shared" si="163"/>
        <v>8860.7999999999993</v>
      </c>
      <c r="P685" s="3"/>
      <c r="Q685" s="3"/>
      <c r="R685" s="3">
        <v>475.2</v>
      </c>
      <c r="S685" s="3">
        <v>475.2</v>
      </c>
      <c r="T685" s="3"/>
      <c r="U685" s="3"/>
      <c r="V685" s="3">
        <f>8389.9+475.2+135-475.2</f>
        <v>8524.9</v>
      </c>
      <c r="W685" s="3">
        <f>8860.8-475.2</f>
        <v>8385.5999999999985</v>
      </c>
      <c r="X685" s="3">
        <f>Y685+Z685+AA685+AB685</f>
        <v>9661.2999999999993</v>
      </c>
      <c r="Y685" s="3"/>
      <c r="Z685" s="3"/>
      <c r="AA685" s="3"/>
      <c r="AB685" s="3">
        <f>8985.4+506.9+169</f>
        <v>9661.2999999999993</v>
      </c>
      <c r="AC685" s="3">
        <f>AD685+AE685+AF685+AG685</f>
        <v>8985.4</v>
      </c>
      <c r="AD685" s="3"/>
      <c r="AE685" s="3"/>
      <c r="AF685" s="3"/>
      <c r="AG685" s="3">
        <v>8985.4</v>
      </c>
      <c r="AH685" s="3">
        <f>AI685+AJ685+AK685+AL685</f>
        <v>8985.4</v>
      </c>
      <c r="AI685" s="3"/>
      <c r="AJ685" s="3"/>
      <c r="AK685" s="3"/>
      <c r="AL685" s="3">
        <v>8985.4</v>
      </c>
      <c r="AM685" s="3">
        <f>AN685+AO685+AP685+AQ685</f>
        <v>8985.4</v>
      </c>
      <c r="AN685" s="3"/>
      <c r="AO685" s="3"/>
      <c r="AP685" s="3"/>
      <c r="AQ685" s="3">
        <v>8985.4</v>
      </c>
    </row>
    <row r="686" spans="1:43" ht="35.450000000000003" customHeight="1">
      <c r="A686" s="326" t="s">
        <v>56</v>
      </c>
      <c r="B686" s="75"/>
      <c r="C686" s="355"/>
      <c r="D686" s="356"/>
      <c r="E686" s="356"/>
      <c r="F686" s="64"/>
      <c r="G686" s="102"/>
      <c r="H686" s="102"/>
      <c r="I686" s="357"/>
      <c r="J686" s="358"/>
      <c r="K686" s="358"/>
      <c r="L686" s="3"/>
      <c r="M686" s="87" t="s">
        <v>905</v>
      </c>
      <c r="N686" s="3">
        <f>P686+R686+T686+V686</f>
        <v>644.79999999999995</v>
      </c>
      <c r="O686" s="3">
        <f t="shared" si="163"/>
        <v>610.79999999999995</v>
      </c>
      <c r="P686" s="3"/>
      <c r="Q686" s="3"/>
      <c r="R686" s="3">
        <v>64.8</v>
      </c>
      <c r="S686" s="3">
        <v>64.8</v>
      </c>
      <c r="T686" s="3"/>
      <c r="U686" s="3"/>
      <c r="V686" s="3">
        <f>580+64.8-64.8</f>
        <v>580</v>
      </c>
      <c r="W686" s="3">
        <f>610.8-64.8</f>
        <v>546</v>
      </c>
      <c r="X686" s="3">
        <f>Y686+Z686+AA686+AB686</f>
        <v>706.80000000000007</v>
      </c>
      <c r="Y686" s="3"/>
      <c r="Z686" s="3"/>
      <c r="AA686" s="3"/>
      <c r="AB686" s="3">
        <f>614.6+69.1+23+0.1</f>
        <v>706.80000000000007</v>
      </c>
      <c r="AC686" s="3">
        <f>AD686+AE686+AF686+AG686</f>
        <v>614.6</v>
      </c>
      <c r="AD686" s="3"/>
      <c r="AE686" s="3"/>
      <c r="AF686" s="3"/>
      <c r="AG686" s="3">
        <v>614.6</v>
      </c>
      <c r="AH686" s="3">
        <f t="shared" si="164"/>
        <v>614.6</v>
      </c>
      <c r="AI686" s="3"/>
      <c r="AJ686" s="3"/>
      <c r="AK686" s="3"/>
      <c r="AL686" s="3">
        <v>614.6</v>
      </c>
      <c r="AM686" s="3">
        <f>AN686+AO686+AP686+AQ686</f>
        <v>614.6</v>
      </c>
      <c r="AN686" s="3"/>
      <c r="AO686" s="3"/>
      <c r="AP686" s="3"/>
      <c r="AQ686" s="3">
        <v>614.6</v>
      </c>
    </row>
    <row r="687" spans="1:43" ht="35.450000000000003" customHeight="1" thickBot="1">
      <c r="A687" s="72" t="s">
        <v>906</v>
      </c>
      <c r="B687" s="66">
        <v>2601</v>
      </c>
      <c r="C687" s="331"/>
      <c r="D687" s="356"/>
      <c r="E687" s="356"/>
      <c r="F687" s="139"/>
      <c r="G687" s="331"/>
      <c r="H687" s="331"/>
      <c r="I687" s="359"/>
      <c r="J687" s="331"/>
      <c r="K687" s="331"/>
      <c r="L687" s="158">
        <v>13</v>
      </c>
      <c r="M687" s="87"/>
      <c r="N687" s="158"/>
      <c r="O687" s="158"/>
      <c r="P687" s="158"/>
      <c r="Q687" s="158"/>
      <c r="R687" s="158"/>
      <c r="S687" s="158"/>
      <c r="T687" s="158"/>
      <c r="U687" s="158"/>
      <c r="V687" s="158"/>
      <c r="W687" s="158"/>
      <c r="X687" s="158"/>
      <c r="Y687" s="158"/>
      <c r="Z687" s="158"/>
      <c r="AA687" s="158"/>
      <c r="AB687" s="158"/>
      <c r="AC687" s="158"/>
      <c r="AD687" s="158"/>
      <c r="AE687" s="158"/>
      <c r="AF687" s="158"/>
      <c r="AG687" s="158"/>
      <c r="AH687" s="158"/>
      <c r="AI687" s="158"/>
      <c r="AJ687" s="158"/>
      <c r="AK687" s="158"/>
      <c r="AL687" s="158"/>
      <c r="AM687" s="158"/>
      <c r="AN687" s="158"/>
      <c r="AO687" s="158"/>
      <c r="AP687" s="158"/>
      <c r="AQ687" s="158"/>
    </row>
    <row r="688" spans="1:43" ht="35.450000000000003" customHeight="1" thickBot="1">
      <c r="A688" s="76" t="s">
        <v>907</v>
      </c>
      <c r="B688" s="66">
        <v>2602</v>
      </c>
      <c r="C688" s="335"/>
      <c r="D688" s="360"/>
      <c r="E688" s="360"/>
      <c r="F688" s="361"/>
      <c r="G688" s="335"/>
      <c r="H688" s="335"/>
      <c r="I688" s="362"/>
      <c r="J688" s="335"/>
      <c r="K688" s="335"/>
      <c r="L688" s="5"/>
      <c r="M688" s="125"/>
      <c r="N688" s="5">
        <f>N689</f>
        <v>20</v>
      </c>
      <c r="O688" s="5">
        <f t="shared" ref="O688:AQ688" si="169">O689</f>
        <v>12.7</v>
      </c>
      <c r="P688" s="5">
        <f t="shared" si="169"/>
        <v>0</v>
      </c>
      <c r="Q688" s="5">
        <f t="shared" si="169"/>
        <v>0</v>
      </c>
      <c r="R688" s="5">
        <f t="shared" si="169"/>
        <v>0</v>
      </c>
      <c r="S688" s="5">
        <f t="shared" si="169"/>
        <v>0</v>
      </c>
      <c r="T688" s="5">
        <f t="shared" si="169"/>
        <v>0</v>
      </c>
      <c r="U688" s="5">
        <f t="shared" si="169"/>
        <v>0</v>
      </c>
      <c r="V688" s="5">
        <f t="shared" si="169"/>
        <v>20</v>
      </c>
      <c r="W688" s="5">
        <f t="shared" si="169"/>
        <v>12.7</v>
      </c>
      <c r="X688" s="5">
        <f t="shared" si="169"/>
        <v>17.3</v>
      </c>
      <c r="Y688" s="5">
        <f t="shared" si="169"/>
        <v>0</v>
      </c>
      <c r="Z688" s="5">
        <f t="shared" si="169"/>
        <v>0</v>
      </c>
      <c r="AA688" s="5">
        <f t="shared" si="169"/>
        <v>0</v>
      </c>
      <c r="AB688" s="5">
        <f t="shared" si="169"/>
        <v>17.3</v>
      </c>
      <c r="AC688" s="5">
        <f t="shared" si="169"/>
        <v>0</v>
      </c>
      <c r="AD688" s="5">
        <f t="shared" si="169"/>
        <v>0</v>
      </c>
      <c r="AE688" s="5">
        <f t="shared" si="169"/>
        <v>0</v>
      </c>
      <c r="AF688" s="5">
        <f t="shared" si="169"/>
        <v>0</v>
      </c>
      <c r="AG688" s="5">
        <f t="shared" si="169"/>
        <v>0</v>
      </c>
      <c r="AH688" s="5">
        <f t="shared" si="169"/>
        <v>0</v>
      </c>
      <c r="AI688" s="5">
        <f t="shared" si="169"/>
        <v>0</v>
      </c>
      <c r="AJ688" s="5">
        <f t="shared" si="169"/>
        <v>0</v>
      </c>
      <c r="AK688" s="5">
        <f t="shared" si="169"/>
        <v>0</v>
      </c>
      <c r="AL688" s="5">
        <f t="shared" si="169"/>
        <v>0</v>
      </c>
      <c r="AM688" s="5">
        <f t="shared" si="169"/>
        <v>0</v>
      </c>
      <c r="AN688" s="5">
        <f t="shared" si="169"/>
        <v>0</v>
      </c>
      <c r="AO688" s="5">
        <f t="shared" si="169"/>
        <v>0</v>
      </c>
      <c r="AP688" s="5">
        <f t="shared" si="169"/>
        <v>0</v>
      </c>
      <c r="AQ688" s="5">
        <f t="shared" si="169"/>
        <v>0</v>
      </c>
    </row>
    <row r="689" spans="1:43" ht="35.450000000000003" customHeight="1" thickBot="1">
      <c r="A689" s="72" t="s">
        <v>56</v>
      </c>
      <c r="B689" s="363"/>
      <c r="C689" s="84" t="s">
        <v>191</v>
      </c>
      <c r="D689" s="84" t="s">
        <v>908</v>
      </c>
      <c r="E689" s="84" t="s">
        <v>271</v>
      </c>
      <c r="F689" s="364"/>
      <c r="G689" s="365"/>
      <c r="H689" s="365"/>
      <c r="I689" s="107" t="s">
        <v>21</v>
      </c>
      <c r="J689" s="107" t="s">
        <v>909</v>
      </c>
      <c r="K689" s="109" t="s">
        <v>23</v>
      </c>
      <c r="L689" s="158">
        <v>13</v>
      </c>
      <c r="M689" s="125" t="s">
        <v>910</v>
      </c>
      <c r="N689" s="158">
        <f>V689</f>
        <v>20</v>
      </c>
      <c r="O689" s="158">
        <f>Q689+S689+U689+W689</f>
        <v>12.7</v>
      </c>
      <c r="P689" s="158"/>
      <c r="Q689" s="158"/>
      <c r="R689" s="158"/>
      <c r="S689" s="158"/>
      <c r="T689" s="158"/>
      <c r="U689" s="158"/>
      <c r="V689" s="158">
        <v>20</v>
      </c>
      <c r="W689" s="158">
        <v>12.7</v>
      </c>
      <c r="X689" s="158">
        <f>AB689</f>
        <v>17.3</v>
      </c>
      <c r="Y689" s="158"/>
      <c r="Z689" s="158"/>
      <c r="AA689" s="158"/>
      <c r="AB689" s="158">
        <v>17.3</v>
      </c>
      <c r="AC689" s="158"/>
      <c r="AD689" s="158"/>
      <c r="AE689" s="158"/>
      <c r="AF689" s="158"/>
      <c r="AG689" s="158"/>
      <c r="AH689" s="158"/>
      <c r="AI689" s="158"/>
      <c r="AJ689" s="158"/>
      <c r="AK689" s="158"/>
      <c r="AL689" s="158"/>
      <c r="AM689" s="158"/>
      <c r="AN689" s="158"/>
      <c r="AO689" s="158"/>
      <c r="AP689" s="158"/>
      <c r="AQ689" s="158"/>
    </row>
    <row r="690" spans="1:43" ht="35.450000000000003" customHeight="1" thickBot="1">
      <c r="A690" s="76" t="s">
        <v>911</v>
      </c>
      <c r="B690" s="217">
        <v>2608</v>
      </c>
      <c r="C690" s="84"/>
      <c r="D690" s="84"/>
      <c r="E690" s="84"/>
      <c r="F690" s="5"/>
      <c r="G690" s="184"/>
      <c r="H690" s="184"/>
      <c r="I690" s="359"/>
      <c r="J690" s="331"/>
      <c r="K690" s="331"/>
      <c r="L690" s="184">
        <v>1</v>
      </c>
      <c r="M690" s="5"/>
      <c r="N690" s="126">
        <f t="shared" ref="N690:W690" si="170">N691+N692+N694+N695+N696+N697+N698+N699+N700+N701+N702+N705+N706+N707+N708+XG708+N703+N704+N709+N711+N713</f>
        <v>44160.799999999996</v>
      </c>
      <c r="O690" s="126">
        <f t="shared" si="170"/>
        <v>43783.9</v>
      </c>
      <c r="P690" s="126">
        <f t="shared" si="170"/>
        <v>0</v>
      </c>
      <c r="Q690" s="126">
        <f t="shared" si="170"/>
        <v>0</v>
      </c>
      <c r="R690" s="126">
        <f t="shared" si="170"/>
        <v>3079.6</v>
      </c>
      <c r="S690" s="126">
        <f t="shared" si="170"/>
        <v>3079.6</v>
      </c>
      <c r="T690" s="126">
        <f t="shared" si="170"/>
        <v>0</v>
      </c>
      <c r="U690" s="126">
        <f t="shared" si="170"/>
        <v>0</v>
      </c>
      <c r="V690" s="126">
        <f t="shared" si="170"/>
        <v>41081.200000000004</v>
      </c>
      <c r="W690" s="126">
        <f t="shared" si="170"/>
        <v>40704.299999999996</v>
      </c>
      <c r="X690" s="126">
        <f>X691+X692+X694+X695+X696+X697+X698+X699+X700+X701+X702+X705+X706+X707+X708+QN708+X703+X704+X709+X711+X713+X712</f>
        <v>51314.2</v>
      </c>
      <c r="Y690" s="126">
        <f>Y691+Y692+Y694+Y695+Y696+Y697+Y698+Y699+Y700+Y701+Y702+Y705+Y706+Y707+Y708+QO708+Y703+Y704+Y709+Y711+Y713+Y712</f>
        <v>0</v>
      </c>
      <c r="Z690" s="126">
        <f>Z691+Z692+Z694+Z695+Z696+Z697+Z698+Z699+Z700+Z701+Z702+Z705+Z706+Z707+Z708+QP708+Z703+Z704+Z709+Z711+Z713+Z712</f>
        <v>0</v>
      </c>
      <c r="AA690" s="126">
        <f>AA691+AA692+AA694+AA695+AA696+AA697+AA698+AA699+AA700+AA701+AA702+AA705+AA706+AA707+AA708+QQ708+AA703+AA704+AA709+AA711+AA713+AA712</f>
        <v>0</v>
      </c>
      <c r="AB690" s="126">
        <f>AB691+AB692+AB694+AB695+AB696+AB697+AB698+AB699+AB700+AB701+AB702+AB705+AB706+AB707+AB708+QR708+AB703+AB704+AB709+AB711+AB713+AB712</f>
        <v>51314.2</v>
      </c>
      <c r="AC690" s="126">
        <f>AC691+AC692+AC694+AC695+AC696+AC697+AC698+AC699+AC700+AC701+AC702+AC705+AC706+AC707+AC708+NG708+AC703+AC704+AC709+AC711+AC713</f>
        <v>43849.7</v>
      </c>
      <c r="AD690" s="126">
        <f>AD691+AD692+AD694+AD695+AD696+AD697+AD698+AD699+AD700+AD701+AD702+AD705+AD706+AD707+AD708+NH708+AD703+AD704+AD709+AD711+AD713</f>
        <v>0</v>
      </c>
      <c r="AE690" s="126">
        <f>AE691+AE692+AE694+AE695+AE696+AE697+AE698+AE699+AE700+AE701+AE702+AE705+AE706+AE707+AE708+NI708+AE703+AE704+AE709+AE711+AE713</f>
        <v>0</v>
      </c>
      <c r="AF690" s="126">
        <f>AF691+AF692+AF694+AF695+AF696+AF697+AF698+AF699+AF700+AF701+AF702+AF705+AF706+AF707+AF708+NJ708+AF703+AF704+AF709+AF711+AF713</f>
        <v>0</v>
      </c>
      <c r="AG690" s="126">
        <f>AG691+AG692+AG694+AG695+AG696+AG697+AG698+AG699+AG700+AG701+AG702+AG705+AG706+AG707+AG708+NK708+AG703+AG704+AG709+AG711+AG713</f>
        <v>43849.7</v>
      </c>
      <c r="AH690" s="126">
        <f t="shared" ref="AH690:AQ690" si="171">AH691+AH692+AH694+AH695+AH696+AH697+AH698+AH699+AH700+AH701+AH702+AH705+AH706+AH707+AH708+MR708+AH703+AH704+AH709+AH711+AH713</f>
        <v>43849.7</v>
      </c>
      <c r="AI690" s="126">
        <f t="shared" si="171"/>
        <v>0</v>
      </c>
      <c r="AJ690" s="126">
        <f t="shared" si="171"/>
        <v>0</v>
      </c>
      <c r="AK690" s="126">
        <f t="shared" si="171"/>
        <v>0</v>
      </c>
      <c r="AL690" s="126">
        <f t="shared" si="171"/>
        <v>43849.7</v>
      </c>
      <c r="AM690" s="126">
        <f t="shared" si="171"/>
        <v>43849.7</v>
      </c>
      <c r="AN690" s="126">
        <f t="shared" si="171"/>
        <v>0</v>
      </c>
      <c r="AO690" s="126">
        <f t="shared" si="171"/>
        <v>0</v>
      </c>
      <c r="AP690" s="126">
        <f t="shared" si="171"/>
        <v>0</v>
      </c>
      <c r="AQ690" s="126">
        <f t="shared" si="171"/>
        <v>43849.7</v>
      </c>
    </row>
    <row r="691" spans="1:43" ht="35.450000000000003" customHeight="1">
      <c r="A691" s="74" t="s">
        <v>65</v>
      </c>
      <c r="B691" s="156"/>
      <c r="C691" s="106" t="s">
        <v>15</v>
      </c>
      <c r="D691" s="147" t="s">
        <v>110</v>
      </c>
      <c r="E691" s="106" t="s">
        <v>111</v>
      </c>
      <c r="F691" s="164" t="s">
        <v>829</v>
      </c>
      <c r="G691" s="295" t="s">
        <v>912</v>
      </c>
      <c r="H691" s="302" t="s">
        <v>20</v>
      </c>
      <c r="I691" s="107" t="s">
        <v>21</v>
      </c>
      <c r="J691" s="107" t="s">
        <v>909</v>
      </c>
      <c r="K691" s="109" t="s">
        <v>23</v>
      </c>
      <c r="L691" s="3"/>
      <c r="M691" s="184"/>
      <c r="N691" s="3">
        <f>P691+R691+T691+V691</f>
        <v>0</v>
      </c>
      <c r="O691" s="3">
        <f>Q691+S691+U691+W691</f>
        <v>0</v>
      </c>
      <c r="P691" s="3"/>
      <c r="Q691" s="3"/>
      <c r="R691" s="3"/>
      <c r="S691" s="3"/>
      <c r="T691" s="3"/>
      <c r="U691" s="3"/>
      <c r="V691" s="3"/>
      <c r="W691" s="3"/>
      <c r="X691" s="3">
        <f>Y691+Z691+AA691+AB691</f>
        <v>0</v>
      </c>
      <c r="Y691" s="3"/>
      <c r="Z691" s="3"/>
      <c r="AA691" s="3"/>
      <c r="AB691" s="3"/>
      <c r="AC691" s="3">
        <f>AD691+AE691+AF691+AG691</f>
        <v>0</v>
      </c>
      <c r="AD691" s="3"/>
      <c r="AE691" s="3"/>
      <c r="AF691" s="3"/>
      <c r="AG691" s="3"/>
      <c r="AH691" s="3">
        <f>AI691+AJ691+AK691+AL691</f>
        <v>0</v>
      </c>
      <c r="AI691" s="3"/>
      <c r="AJ691" s="3"/>
      <c r="AK691" s="3"/>
      <c r="AL691" s="3"/>
      <c r="AM691" s="3">
        <f>AN691+AO691+AP691+AQ691</f>
        <v>0</v>
      </c>
      <c r="AN691" s="3"/>
      <c r="AO691" s="3"/>
      <c r="AP691" s="3"/>
      <c r="AQ691" s="3"/>
    </row>
    <row r="692" spans="1:43" ht="35.450000000000003" customHeight="1">
      <c r="A692" s="146" t="s">
        <v>65</v>
      </c>
      <c r="B692" s="91"/>
      <c r="C692" s="111"/>
      <c r="D692" s="151"/>
      <c r="E692" s="111"/>
      <c r="F692" s="166"/>
      <c r="G692" s="166"/>
      <c r="H692" s="166"/>
      <c r="I692" s="82" t="s">
        <v>913</v>
      </c>
      <c r="J692" s="102"/>
      <c r="K692" s="102"/>
      <c r="L692" s="3"/>
      <c r="M692" s="87" t="s">
        <v>914</v>
      </c>
      <c r="N692" s="3">
        <f>P692+R692+T692+V692</f>
        <v>0</v>
      </c>
      <c r="O692" s="3">
        <f t="shared" ref="O692:O713" si="172">Q692+S692+U692+W692</f>
        <v>0</v>
      </c>
      <c r="P692" s="3"/>
      <c r="Q692" s="3"/>
      <c r="R692" s="3">
        <v>0</v>
      </c>
      <c r="S692" s="3"/>
      <c r="T692" s="3"/>
      <c r="U692" s="3"/>
      <c r="V692" s="3"/>
      <c r="W692" s="3"/>
      <c r="X692" s="3">
        <f>Y692+Z692+AA692+AB692</f>
        <v>0</v>
      </c>
      <c r="Y692" s="3"/>
      <c r="Z692" s="3">
        <v>0</v>
      </c>
      <c r="AA692" s="3"/>
      <c r="AB692" s="3"/>
      <c r="AC692" s="3">
        <f>AD692+AE692+AF692+AG692</f>
        <v>0</v>
      </c>
      <c r="AD692" s="3"/>
      <c r="AE692" s="3">
        <v>0</v>
      </c>
      <c r="AF692" s="3"/>
      <c r="AG692" s="3"/>
      <c r="AH692" s="3">
        <f t="shared" ref="AH692:AH713" si="173">AI692+AJ692+AK692+AL692</f>
        <v>0</v>
      </c>
      <c r="AI692" s="3"/>
      <c r="AJ692" s="3">
        <v>0</v>
      </c>
      <c r="AK692" s="3"/>
      <c r="AL692" s="3"/>
      <c r="AM692" s="3">
        <f t="shared" ref="AM692:AM702" si="174">AN692+AO692+AP692+AQ692</f>
        <v>0</v>
      </c>
      <c r="AN692" s="3"/>
      <c r="AO692" s="3">
        <v>0</v>
      </c>
      <c r="AP692" s="3"/>
      <c r="AQ692" s="3"/>
    </row>
    <row r="693" spans="1:43" ht="35.450000000000003" customHeight="1">
      <c r="A693" s="146" t="s">
        <v>65</v>
      </c>
      <c r="B693" s="206"/>
      <c r="C693" s="111"/>
      <c r="D693" s="151"/>
      <c r="E693" s="111"/>
      <c r="F693" s="166"/>
      <c r="G693" s="166"/>
      <c r="H693" s="166"/>
      <c r="I693" s="166"/>
      <c r="J693" s="102"/>
      <c r="K693" s="102"/>
      <c r="L693" s="3"/>
      <c r="M693" s="87" t="s">
        <v>915</v>
      </c>
      <c r="N693" s="3"/>
      <c r="O693" s="3">
        <f t="shared" si="172"/>
        <v>0</v>
      </c>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row>
    <row r="694" spans="1:43" ht="35.450000000000003" customHeight="1">
      <c r="A694" s="146" t="s">
        <v>65</v>
      </c>
      <c r="B694" s="206"/>
      <c r="C694" s="111"/>
      <c r="D694" s="151"/>
      <c r="E694" s="111"/>
      <c r="F694" s="166"/>
      <c r="G694" s="166"/>
      <c r="H694" s="166"/>
      <c r="I694" s="166"/>
      <c r="J694" s="102"/>
      <c r="K694" s="102"/>
      <c r="L694" s="3"/>
      <c r="M694" s="87" t="s">
        <v>916</v>
      </c>
      <c r="N694" s="3">
        <f t="shared" ref="N694:N702" si="175">P694+R694+T694+V694</f>
        <v>5884</v>
      </c>
      <c r="O694" s="3">
        <f t="shared" si="172"/>
        <v>5883.9</v>
      </c>
      <c r="P694" s="3"/>
      <c r="Q694" s="3"/>
      <c r="R694" s="3">
        <v>773.5</v>
      </c>
      <c r="S694" s="3">
        <v>773.5</v>
      </c>
      <c r="T694" s="3"/>
      <c r="U694" s="3"/>
      <c r="V694" s="3">
        <f>4550.7+861.7+432.5+39.1-773.5</f>
        <v>5110.5</v>
      </c>
      <c r="W694" s="3">
        <f>5883.9-773.5</f>
        <v>5110.3999999999996</v>
      </c>
      <c r="X694" s="3">
        <f t="shared" ref="X694:X713" si="176">Y694+Z694+AA694+AB694</f>
        <v>6949.4</v>
      </c>
      <c r="Y694" s="3"/>
      <c r="Z694" s="3"/>
      <c r="AA694" s="3"/>
      <c r="AB694" s="3">
        <f>6069.4+660+220</f>
        <v>6949.4</v>
      </c>
      <c r="AC694" s="3">
        <f t="shared" ref="AC694:AC702" si="177">AD694+AE694+AF694+AG694</f>
        <v>6069.4</v>
      </c>
      <c r="AD694" s="3"/>
      <c r="AE694" s="3"/>
      <c r="AF694" s="3"/>
      <c r="AG694" s="3">
        <v>6069.4</v>
      </c>
      <c r="AH694" s="3">
        <f t="shared" si="173"/>
        <v>6069.4</v>
      </c>
      <c r="AI694" s="3"/>
      <c r="AJ694" s="3"/>
      <c r="AK694" s="3"/>
      <c r="AL694" s="3">
        <v>6069.4</v>
      </c>
      <c r="AM694" s="3">
        <f t="shared" si="174"/>
        <v>6069.4</v>
      </c>
      <c r="AN694" s="3"/>
      <c r="AO694" s="3"/>
      <c r="AP694" s="3"/>
      <c r="AQ694" s="3">
        <v>6069.4</v>
      </c>
    </row>
    <row r="695" spans="1:43" ht="35.450000000000003" customHeight="1">
      <c r="A695" s="146" t="s">
        <v>65</v>
      </c>
      <c r="B695" s="206"/>
      <c r="C695" s="111"/>
      <c r="D695" s="151"/>
      <c r="E695" s="111"/>
      <c r="F695" s="166"/>
      <c r="G695" s="166"/>
      <c r="H695" s="166"/>
      <c r="I695" s="166"/>
      <c r="J695" s="102"/>
      <c r="K695" s="102"/>
      <c r="L695" s="3"/>
      <c r="M695" s="87" t="s">
        <v>917</v>
      </c>
      <c r="N695" s="3">
        <f t="shared" si="175"/>
        <v>124.5</v>
      </c>
      <c r="O695" s="3">
        <f t="shared" si="172"/>
        <v>118.5</v>
      </c>
      <c r="P695" s="3"/>
      <c r="Q695" s="3"/>
      <c r="R695" s="3"/>
      <c r="S695" s="3"/>
      <c r="T695" s="3"/>
      <c r="U695" s="3"/>
      <c r="V695" s="3">
        <f>88.5+36</f>
        <v>124.5</v>
      </c>
      <c r="W695" s="3">
        <v>118.5</v>
      </c>
      <c r="X695" s="3">
        <f t="shared" si="176"/>
        <v>97.6</v>
      </c>
      <c r="Y695" s="3"/>
      <c r="Z695" s="3"/>
      <c r="AA695" s="3"/>
      <c r="AB695" s="3">
        <f>90+7.6</f>
        <v>97.6</v>
      </c>
      <c r="AC695" s="3">
        <f t="shared" si="177"/>
        <v>90</v>
      </c>
      <c r="AD695" s="3"/>
      <c r="AE695" s="3"/>
      <c r="AF695" s="3"/>
      <c r="AG695" s="3">
        <v>90</v>
      </c>
      <c r="AH695" s="3">
        <f t="shared" si="173"/>
        <v>90</v>
      </c>
      <c r="AI695" s="3"/>
      <c r="AJ695" s="3"/>
      <c r="AK695" s="3"/>
      <c r="AL695" s="3">
        <v>90</v>
      </c>
      <c r="AM695" s="3">
        <f t="shared" si="174"/>
        <v>90</v>
      </c>
      <c r="AN695" s="3"/>
      <c r="AO695" s="3"/>
      <c r="AP695" s="3"/>
      <c r="AQ695" s="3">
        <v>90</v>
      </c>
    </row>
    <row r="696" spans="1:43" ht="35.450000000000003" customHeight="1">
      <c r="A696" s="146" t="s">
        <v>65</v>
      </c>
      <c r="B696" s="206"/>
      <c r="C696" s="111"/>
      <c r="D696" s="151"/>
      <c r="E696" s="111"/>
      <c r="F696" s="166"/>
      <c r="G696" s="166"/>
      <c r="H696" s="166"/>
      <c r="I696" s="166"/>
      <c r="J696" s="102"/>
      <c r="K696" s="102"/>
      <c r="L696" s="3"/>
      <c r="M696" s="87"/>
      <c r="N696" s="3">
        <f t="shared" si="175"/>
        <v>0</v>
      </c>
      <c r="O696" s="3">
        <f t="shared" si="172"/>
        <v>0</v>
      </c>
      <c r="P696" s="3"/>
      <c r="Q696" s="3"/>
      <c r="R696" s="3"/>
      <c r="S696" s="3"/>
      <c r="T696" s="3"/>
      <c r="U696" s="3"/>
      <c r="V696" s="3">
        <v>0</v>
      </c>
      <c r="W696" s="3"/>
      <c r="X696" s="3">
        <f t="shared" si="176"/>
        <v>0</v>
      </c>
      <c r="Y696" s="3"/>
      <c r="Z696" s="3"/>
      <c r="AA696" s="3"/>
      <c r="AB696" s="3">
        <v>0</v>
      </c>
      <c r="AC696" s="3">
        <f t="shared" si="177"/>
        <v>0</v>
      </c>
      <c r="AD696" s="3"/>
      <c r="AE696" s="3"/>
      <c r="AF696" s="3"/>
      <c r="AG696" s="3">
        <v>0</v>
      </c>
      <c r="AH696" s="3">
        <f t="shared" si="173"/>
        <v>0</v>
      </c>
      <c r="AI696" s="3"/>
      <c r="AJ696" s="3"/>
      <c r="AK696" s="3"/>
      <c r="AL696" s="3">
        <v>0</v>
      </c>
      <c r="AM696" s="3">
        <f t="shared" si="174"/>
        <v>0</v>
      </c>
      <c r="AN696" s="3"/>
      <c r="AO696" s="3"/>
      <c r="AP696" s="3"/>
      <c r="AQ696" s="3">
        <v>0</v>
      </c>
    </row>
    <row r="697" spans="1:43" ht="35.450000000000003" customHeight="1">
      <c r="A697" s="146" t="s">
        <v>65</v>
      </c>
      <c r="B697" s="206"/>
      <c r="C697" s="111"/>
      <c r="D697" s="151"/>
      <c r="E697" s="111"/>
      <c r="F697" s="166"/>
      <c r="G697" s="166"/>
      <c r="H697" s="166"/>
      <c r="I697" s="166"/>
      <c r="J697" s="102"/>
      <c r="K697" s="102"/>
      <c r="L697" s="3"/>
      <c r="M697" s="87" t="s">
        <v>918</v>
      </c>
      <c r="N697" s="3">
        <f t="shared" si="175"/>
        <v>0</v>
      </c>
      <c r="O697" s="3">
        <f t="shared" si="172"/>
        <v>0</v>
      </c>
      <c r="P697" s="3"/>
      <c r="Q697" s="3"/>
      <c r="R697" s="3"/>
      <c r="S697" s="3"/>
      <c r="T697" s="3"/>
      <c r="U697" s="3"/>
      <c r="V697" s="3"/>
      <c r="W697" s="3"/>
      <c r="X697" s="3">
        <f t="shared" si="176"/>
        <v>0</v>
      </c>
      <c r="Y697" s="3"/>
      <c r="Z697" s="3"/>
      <c r="AA697" s="3"/>
      <c r="AB697" s="3"/>
      <c r="AC697" s="3">
        <f t="shared" si="177"/>
        <v>0</v>
      </c>
      <c r="AD697" s="3"/>
      <c r="AE697" s="3"/>
      <c r="AF697" s="3"/>
      <c r="AG697" s="3"/>
      <c r="AH697" s="3">
        <f t="shared" si="173"/>
        <v>0</v>
      </c>
      <c r="AI697" s="3"/>
      <c r="AJ697" s="3"/>
      <c r="AK697" s="3"/>
      <c r="AL697" s="3"/>
      <c r="AM697" s="3">
        <f t="shared" si="174"/>
        <v>0</v>
      </c>
      <c r="AN697" s="3"/>
      <c r="AO697" s="3"/>
      <c r="AP697" s="3"/>
      <c r="AQ697" s="3"/>
    </row>
    <row r="698" spans="1:43" ht="35.450000000000003" customHeight="1">
      <c r="A698" s="146" t="s">
        <v>65</v>
      </c>
      <c r="B698" s="206"/>
      <c r="C698" s="111"/>
      <c r="D698" s="151"/>
      <c r="E698" s="111"/>
      <c r="F698" s="166"/>
      <c r="G698" s="166"/>
      <c r="H698" s="166"/>
      <c r="I698" s="166"/>
      <c r="J698" s="102"/>
      <c r="K698" s="102"/>
      <c r="L698" s="3"/>
      <c r="M698" s="87" t="s">
        <v>919</v>
      </c>
      <c r="N698" s="3">
        <f t="shared" si="175"/>
        <v>26400.399999999998</v>
      </c>
      <c r="O698" s="3">
        <f t="shared" si="172"/>
        <v>26268.6</v>
      </c>
      <c r="P698" s="3"/>
      <c r="Q698" s="3"/>
      <c r="R698" s="3">
        <v>2024.9</v>
      </c>
      <c r="S698" s="3">
        <v>2024.9</v>
      </c>
      <c r="T698" s="3"/>
      <c r="U698" s="3"/>
      <c r="V698" s="3">
        <f>23315.6+3084.8-2024.9</f>
        <v>24375.499999999996</v>
      </c>
      <c r="W698" s="3">
        <f>26268.6-2024.9</f>
        <v>24243.699999999997</v>
      </c>
      <c r="X698" s="3">
        <f t="shared" si="176"/>
        <v>32280.9</v>
      </c>
      <c r="Y698" s="3"/>
      <c r="Z698" s="3"/>
      <c r="AA698" s="3"/>
      <c r="AB698" s="3">
        <f>29295.2+1679.9+316.6+993.3-4.1</f>
        <v>32280.9</v>
      </c>
      <c r="AC698" s="3">
        <f t="shared" si="177"/>
        <v>29295.200000000001</v>
      </c>
      <c r="AD698" s="3"/>
      <c r="AE698" s="3"/>
      <c r="AF698" s="3"/>
      <c r="AG698" s="3">
        <v>29295.200000000001</v>
      </c>
      <c r="AH698" s="3">
        <f t="shared" si="173"/>
        <v>29295.200000000001</v>
      </c>
      <c r="AI698" s="3"/>
      <c r="AJ698" s="3"/>
      <c r="AK698" s="3"/>
      <c r="AL698" s="3">
        <v>29295.200000000001</v>
      </c>
      <c r="AM698" s="3">
        <f t="shared" si="174"/>
        <v>29295.200000000001</v>
      </c>
      <c r="AN698" s="3"/>
      <c r="AO698" s="3"/>
      <c r="AP698" s="3"/>
      <c r="AQ698" s="3">
        <v>29295.200000000001</v>
      </c>
    </row>
    <row r="699" spans="1:43" ht="35.450000000000003" customHeight="1">
      <c r="A699" s="366" t="s">
        <v>65</v>
      </c>
      <c r="B699" s="156"/>
      <c r="C699" s="111"/>
      <c r="D699" s="151"/>
      <c r="E699" s="111"/>
      <c r="F699" s="166"/>
      <c r="G699" s="166"/>
      <c r="H699" s="166"/>
      <c r="I699" s="166"/>
      <c r="J699" s="3"/>
      <c r="K699" s="3"/>
      <c r="L699" s="3"/>
      <c r="M699" s="87" t="s">
        <v>920</v>
      </c>
      <c r="N699" s="3">
        <f t="shared" si="175"/>
        <v>2575</v>
      </c>
      <c r="O699" s="3">
        <f t="shared" si="172"/>
        <v>2482.3000000000002</v>
      </c>
      <c r="P699" s="3"/>
      <c r="Q699" s="3"/>
      <c r="R699" s="3"/>
      <c r="S699" s="3"/>
      <c r="T699" s="3"/>
      <c r="U699" s="3"/>
      <c r="V699" s="3">
        <f>1294.7+100+324.2+200+143.9+512.2</f>
        <v>2575</v>
      </c>
      <c r="W699" s="3">
        <v>2482.3000000000002</v>
      </c>
      <c r="X699" s="3">
        <f t="shared" si="176"/>
        <v>3921.7</v>
      </c>
      <c r="Y699" s="3"/>
      <c r="Z699" s="3"/>
      <c r="AA699" s="3"/>
      <c r="AB699" s="3">
        <f>1496.1+2150+275.6</f>
        <v>3921.7</v>
      </c>
      <c r="AC699" s="3">
        <f t="shared" si="177"/>
        <v>1496.1</v>
      </c>
      <c r="AD699" s="3"/>
      <c r="AE699" s="3"/>
      <c r="AF699" s="3"/>
      <c r="AG699" s="3">
        <v>1496.1</v>
      </c>
      <c r="AH699" s="3">
        <f t="shared" si="173"/>
        <v>1496.1</v>
      </c>
      <c r="AI699" s="3"/>
      <c r="AJ699" s="3"/>
      <c r="AK699" s="3"/>
      <c r="AL699" s="3">
        <v>1496.1</v>
      </c>
      <c r="AM699" s="3">
        <f t="shared" si="174"/>
        <v>1496.1</v>
      </c>
      <c r="AN699" s="3"/>
      <c r="AO699" s="3"/>
      <c r="AP699" s="3"/>
      <c r="AQ699" s="3">
        <v>1496.1</v>
      </c>
    </row>
    <row r="700" spans="1:43" ht="35.450000000000003" customHeight="1">
      <c r="A700" s="366" t="s">
        <v>65</v>
      </c>
      <c r="B700" s="156"/>
      <c r="C700" s="111"/>
      <c r="D700" s="151"/>
      <c r="E700" s="111"/>
      <c r="F700" s="166"/>
      <c r="G700" s="166"/>
      <c r="H700" s="166"/>
      <c r="I700" s="166"/>
      <c r="J700" s="3"/>
      <c r="K700" s="3"/>
      <c r="L700" s="3"/>
      <c r="M700" s="87" t="s">
        <v>920</v>
      </c>
      <c r="N700" s="3">
        <f t="shared" si="175"/>
        <v>0</v>
      </c>
      <c r="O700" s="3">
        <f t="shared" si="172"/>
        <v>0</v>
      </c>
      <c r="P700" s="3"/>
      <c r="Q700" s="3"/>
      <c r="R700" s="3"/>
      <c r="S700" s="3"/>
      <c r="T700" s="3"/>
      <c r="U700" s="3"/>
      <c r="V700" s="3"/>
      <c r="W700" s="3"/>
      <c r="X700" s="3">
        <f t="shared" si="176"/>
        <v>0</v>
      </c>
      <c r="Y700" s="3"/>
      <c r="Z700" s="3"/>
      <c r="AA700" s="3"/>
      <c r="AB700" s="3"/>
      <c r="AC700" s="3">
        <f t="shared" si="177"/>
        <v>0</v>
      </c>
      <c r="AD700" s="3"/>
      <c r="AE700" s="3"/>
      <c r="AF700" s="3"/>
      <c r="AG700" s="3"/>
      <c r="AH700" s="3">
        <f t="shared" si="173"/>
        <v>0</v>
      </c>
      <c r="AI700" s="3"/>
      <c r="AJ700" s="3"/>
      <c r="AK700" s="3"/>
      <c r="AL700" s="3"/>
      <c r="AM700" s="3">
        <f t="shared" si="174"/>
        <v>0</v>
      </c>
      <c r="AN700" s="3"/>
      <c r="AO700" s="3"/>
      <c r="AP700" s="3"/>
      <c r="AQ700" s="3"/>
    </row>
    <row r="701" spans="1:43" ht="35.450000000000003" customHeight="1">
      <c r="A701" s="366" t="s">
        <v>65</v>
      </c>
      <c r="B701" s="156"/>
      <c r="C701" s="111"/>
      <c r="D701" s="151"/>
      <c r="E701" s="111"/>
      <c r="F701" s="166"/>
      <c r="G701" s="166"/>
      <c r="H701" s="166"/>
      <c r="I701" s="166"/>
      <c r="J701" s="3"/>
      <c r="K701" s="3"/>
      <c r="L701" s="3"/>
      <c r="M701" s="87" t="s">
        <v>921</v>
      </c>
      <c r="N701" s="3">
        <f t="shared" si="175"/>
        <v>41.7</v>
      </c>
      <c r="O701" s="3">
        <f t="shared" si="172"/>
        <v>41.7</v>
      </c>
      <c r="P701" s="3"/>
      <c r="Q701" s="3"/>
      <c r="R701" s="3"/>
      <c r="S701" s="3"/>
      <c r="T701" s="3"/>
      <c r="U701" s="3"/>
      <c r="V701" s="3">
        <f>30+20-8.3</f>
        <v>41.7</v>
      </c>
      <c r="W701" s="3">
        <v>41.7</v>
      </c>
      <c r="X701" s="3">
        <f t="shared" si="176"/>
        <v>0</v>
      </c>
      <c r="Y701" s="3"/>
      <c r="Z701" s="3"/>
      <c r="AA701" s="3"/>
      <c r="AB701" s="3">
        <f>40-40</f>
        <v>0</v>
      </c>
      <c r="AC701" s="3">
        <f t="shared" si="177"/>
        <v>40</v>
      </c>
      <c r="AD701" s="3"/>
      <c r="AE701" s="3"/>
      <c r="AF701" s="3"/>
      <c r="AG701" s="3">
        <v>40</v>
      </c>
      <c r="AH701" s="3">
        <f t="shared" si="173"/>
        <v>40</v>
      </c>
      <c r="AI701" s="3"/>
      <c r="AJ701" s="3"/>
      <c r="AK701" s="3"/>
      <c r="AL701" s="3">
        <v>40</v>
      </c>
      <c r="AM701" s="3">
        <f t="shared" si="174"/>
        <v>40</v>
      </c>
      <c r="AN701" s="3"/>
      <c r="AO701" s="3"/>
      <c r="AP701" s="3"/>
      <c r="AQ701" s="3">
        <v>40</v>
      </c>
    </row>
    <row r="702" spans="1:43" ht="35.450000000000003" customHeight="1">
      <c r="A702" s="146" t="s">
        <v>65</v>
      </c>
      <c r="B702" s="156"/>
      <c r="C702" s="111"/>
      <c r="D702" s="151"/>
      <c r="E702" s="111"/>
      <c r="F702" s="166"/>
      <c r="G702" s="166"/>
      <c r="H702" s="166"/>
      <c r="I702" s="166"/>
      <c r="J702" s="3"/>
      <c r="K702" s="3"/>
      <c r="L702" s="3"/>
      <c r="M702" s="87" t="s">
        <v>922</v>
      </c>
      <c r="N702" s="3">
        <f t="shared" si="175"/>
        <v>258.3</v>
      </c>
      <c r="O702" s="3">
        <f t="shared" si="172"/>
        <v>200.9</v>
      </c>
      <c r="P702" s="3"/>
      <c r="Q702" s="3"/>
      <c r="R702" s="3"/>
      <c r="S702" s="3"/>
      <c r="T702" s="3"/>
      <c r="U702" s="3"/>
      <c r="V702" s="3">
        <f>270-20+8.3</f>
        <v>258.3</v>
      </c>
      <c r="W702" s="3">
        <v>200.9</v>
      </c>
      <c r="X702" s="3">
        <f t="shared" si="176"/>
        <v>540.6</v>
      </c>
      <c r="Y702" s="3"/>
      <c r="Z702" s="3"/>
      <c r="AA702" s="3"/>
      <c r="AB702" s="3">
        <f>230+100+100+35.6+75</f>
        <v>540.6</v>
      </c>
      <c r="AC702" s="3">
        <f t="shared" si="177"/>
        <v>280</v>
      </c>
      <c r="AD702" s="3"/>
      <c r="AE702" s="3"/>
      <c r="AF702" s="3"/>
      <c r="AG702" s="3">
        <v>280</v>
      </c>
      <c r="AH702" s="3">
        <f t="shared" si="173"/>
        <v>280</v>
      </c>
      <c r="AI702" s="3"/>
      <c r="AJ702" s="3"/>
      <c r="AK702" s="3"/>
      <c r="AL702" s="3">
        <v>280</v>
      </c>
      <c r="AM702" s="3">
        <f t="shared" si="174"/>
        <v>280</v>
      </c>
      <c r="AN702" s="3"/>
      <c r="AO702" s="3"/>
      <c r="AP702" s="3"/>
      <c r="AQ702" s="3">
        <v>280</v>
      </c>
    </row>
    <row r="703" spans="1:43" ht="35.450000000000003" customHeight="1">
      <c r="A703" s="146" t="s">
        <v>65</v>
      </c>
      <c r="B703" s="91"/>
      <c r="C703" s="111"/>
      <c r="D703" s="151"/>
      <c r="E703" s="111"/>
      <c r="F703" s="166"/>
      <c r="G703" s="166"/>
      <c r="H703" s="166"/>
      <c r="I703" s="166"/>
      <c r="J703" s="3"/>
      <c r="K703" s="3"/>
      <c r="L703" s="3"/>
      <c r="M703" s="87" t="s">
        <v>923</v>
      </c>
      <c r="N703" s="3"/>
      <c r="O703" s="3">
        <f t="shared" si="172"/>
        <v>0</v>
      </c>
      <c r="P703" s="3"/>
      <c r="Q703" s="3"/>
      <c r="R703" s="3"/>
      <c r="S703" s="3"/>
      <c r="T703" s="3"/>
      <c r="U703" s="3"/>
      <c r="V703" s="3"/>
      <c r="W703" s="3"/>
      <c r="X703" s="3">
        <f t="shared" si="176"/>
        <v>10</v>
      </c>
      <c r="Y703" s="3"/>
      <c r="Z703" s="3"/>
      <c r="AA703" s="3"/>
      <c r="AB703" s="3">
        <v>10</v>
      </c>
      <c r="AC703" s="3"/>
      <c r="AD703" s="3"/>
      <c r="AE703" s="3"/>
      <c r="AF703" s="3"/>
      <c r="AG703" s="3"/>
      <c r="AH703" s="3"/>
      <c r="AI703" s="3"/>
      <c r="AJ703" s="3"/>
      <c r="AK703" s="3"/>
      <c r="AL703" s="3"/>
      <c r="AM703" s="3"/>
      <c r="AN703" s="3"/>
      <c r="AO703" s="3"/>
      <c r="AP703" s="3"/>
      <c r="AQ703" s="3"/>
    </row>
    <row r="704" spans="1:43" ht="35.450000000000003" customHeight="1">
      <c r="A704" s="146" t="s">
        <v>65</v>
      </c>
      <c r="B704" s="156"/>
      <c r="C704" s="111"/>
      <c r="D704" s="151"/>
      <c r="E704" s="111"/>
      <c r="F704" s="166"/>
      <c r="G704" s="166"/>
      <c r="H704" s="166"/>
      <c r="I704" s="168"/>
      <c r="J704" s="3"/>
      <c r="K704" s="3"/>
      <c r="L704" s="3"/>
      <c r="M704" s="87" t="s">
        <v>924</v>
      </c>
      <c r="N704" s="3"/>
      <c r="O704" s="3">
        <f t="shared" si="172"/>
        <v>0</v>
      </c>
      <c r="P704" s="3"/>
      <c r="Q704" s="3"/>
      <c r="R704" s="3"/>
      <c r="S704" s="3"/>
      <c r="T704" s="3"/>
      <c r="U704" s="3"/>
      <c r="V704" s="3"/>
      <c r="W704" s="3"/>
      <c r="X704" s="3">
        <f t="shared" si="176"/>
        <v>0</v>
      </c>
      <c r="Y704" s="3"/>
      <c r="Z704" s="3"/>
      <c r="AA704" s="3"/>
      <c r="AB704" s="3"/>
      <c r="AC704" s="3"/>
      <c r="AD704" s="3"/>
      <c r="AE704" s="3"/>
      <c r="AF704" s="3"/>
      <c r="AG704" s="3"/>
      <c r="AH704" s="3"/>
      <c r="AI704" s="3"/>
      <c r="AJ704" s="3"/>
      <c r="AK704" s="3"/>
      <c r="AL704" s="3"/>
      <c r="AM704" s="3"/>
      <c r="AN704" s="3"/>
      <c r="AO704" s="3"/>
      <c r="AP704" s="3"/>
      <c r="AQ704" s="3"/>
    </row>
    <row r="705" spans="1:43" ht="35.450000000000003" customHeight="1">
      <c r="A705" s="146" t="s">
        <v>98</v>
      </c>
      <c r="B705" s="206"/>
      <c r="C705" s="111"/>
      <c r="D705" s="151"/>
      <c r="E705" s="111"/>
      <c r="F705" s="166"/>
      <c r="G705" s="166"/>
      <c r="H705" s="166"/>
      <c r="I705" s="275" t="s">
        <v>925</v>
      </c>
      <c r="J705" s="367" t="s">
        <v>153</v>
      </c>
      <c r="K705" s="368">
        <v>40179</v>
      </c>
      <c r="L705" s="3"/>
      <c r="M705" s="87" t="s">
        <v>926</v>
      </c>
      <c r="N705" s="3">
        <f>P705+R705+T705+V705</f>
        <v>0</v>
      </c>
      <c r="O705" s="3">
        <f t="shared" si="172"/>
        <v>0</v>
      </c>
      <c r="P705" s="3"/>
      <c r="Q705" s="3"/>
      <c r="R705" s="3"/>
      <c r="S705" s="3"/>
      <c r="T705" s="3"/>
      <c r="U705" s="3"/>
      <c r="V705" s="3"/>
      <c r="W705" s="3"/>
      <c r="X705" s="3">
        <f t="shared" si="176"/>
        <v>0</v>
      </c>
      <c r="Y705" s="3"/>
      <c r="Z705" s="3"/>
      <c r="AA705" s="3"/>
      <c r="AB705" s="3"/>
      <c r="AC705" s="3">
        <f>AD705+AE705+AF705+AG705</f>
        <v>0</v>
      </c>
      <c r="AD705" s="3"/>
      <c r="AE705" s="3"/>
      <c r="AF705" s="3"/>
      <c r="AG705" s="3"/>
      <c r="AH705" s="3">
        <f t="shared" si="173"/>
        <v>0</v>
      </c>
      <c r="AI705" s="3"/>
      <c r="AJ705" s="3"/>
      <c r="AK705" s="3"/>
      <c r="AL705" s="3"/>
      <c r="AM705" s="3">
        <f>AN705+AO705+AP705+AQ705</f>
        <v>0</v>
      </c>
      <c r="AN705" s="3"/>
      <c r="AO705" s="3"/>
      <c r="AP705" s="3"/>
      <c r="AQ705" s="3"/>
    </row>
    <row r="706" spans="1:43" ht="35.450000000000003" customHeight="1">
      <c r="A706" s="146" t="s">
        <v>98</v>
      </c>
      <c r="B706" s="156"/>
      <c r="C706" s="111"/>
      <c r="D706" s="151"/>
      <c r="E706" s="111"/>
      <c r="F706" s="166"/>
      <c r="G706" s="166"/>
      <c r="H706" s="166"/>
      <c r="I706" s="369"/>
      <c r="J706" s="367"/>
      <c r="K706" s="370"/>
      <c r="L706" s="3"/>
      <c r="M706" s="87" t="s">
        <v>927</v>
      </c>
      <c r="N706" s="3">
        <f>P706+R706+T706+V706</f>
        <v>0</v>
      </c>
      <c r="O706" s="3">
        <f t="shared" si="172"/>
        <v>0</v>
      </c>
      <c r="P706" s="3"/>
      <c r="Q706" s="3"/>
      <c r="R706" s="3"/>
      <c r="S706" s="3"/>
      <c r="T706" s="3"/>
      <c r="U706" s="3"/>
      <c r="V706" s="3"/>
      <c r="W706" s="3"/>
      <c r="X706" s="3">
        <f t="shared" si="176"/>
        <v>0</v>
      </c>
      <c r="Y706" s="3"/>
      <c r="Z706" s="3"/>
      <c r="AA706" s="3"/>
      <c r="AB706" s="3"/>
      <c r="AC706" s="3">
        <f>AD706+AE706+AF706+AG706</f>
        <v>0</v>
      </c>
      <c r="AD706" s="3"/>
      <c r="AE706" s="3"/>
      <c r="AF706" s="3"/>
      <c r="AG706" s="3"/>
      <c r="AH706" s="3">
        <f t="shared" si="173"/>
        <v>0</v>
      </c>
      <c r="AI706" s="3"/>
      <c r="AJ706" s="3"/>
      <c r="AK706" s="3"/>
      <c r="AL706" s="3"/>
      <c r="AM706" s="3">
        <f>AN706+AO706+AP706+AQ706</f>
        <v>0</v>
      </c>
      <c r="AN706" s="3"/>
      <c r="AO706" s="3"/>
      <c r="AP706" s="3"/>
      <c r="AQ706" s="3"/>
    </row>
    <row r="707" spans="1:43" ht="35.450000000000003" customHeight="1">
      <c r="A707" s="146" t="s">
        <v>98</v>
      </c>
      <c r="B707" s="156"/>
      <c r="C707" s="111"/>
      <c r="D707" s="151"/>
      <c r="E707" s="111"/>
      <c r="F707" s="166"/>
      <c r="G707" s="166"/>
      <c r="H707" s="166"/>
      <c r="I707" s="369"/>
      <c r="J707" s="367"/>
      <c r="K707" s="370"/>
      <c r="L707" s="3"/>
      <c r="M707" s="87" t="s">
        <v>928</v>
      </c>
      <c r="N707" s="3">
        <f>P707+R707+T707+V707</f>
        <v>0</v>
      </c>
      <c r="O707" s="3">
        <f t="shared" si="172"/>
        <v>0</v>
      </c>
      <c r="P707" s="3"/>
      <c r="Q707" s="3"/>
      <c r="R707" s="3"/>
      <c r="S707" s="3"/>
      <c r="T707" s="3"/>
      <c r="U707" s="3"/>
      <c r="V707" s="3"/>
      <c r="W707" s="3"/>
      <c r="X707" s="3">
        <f t="shared" si="176"/>
        <v>0</v>
      </c>
      <c r="Y707" s="3"/>
      <c r="Z707" s="3"/>
      <c r="AA707" s="3"/>
      <c r="AB707" s="3"/>
      <c r="AC707" s="3">
        <f>AD707+AE707+AF707+AG707</f>
        <v>0</v>
      </c>
      <c r="AD707" s="3"/>
      <c r="AE707" s="3"/>
      <c r="AF707" s="3"/>
      <c r="AG707" s="3"/>
      <c r="AH707" s="3">
        <f t="shared" si="173"/>
        <v>0</v>
      </c>
      <c r="AI707" s="3"/>
      <c r="AJ707" s="3"/>
      <c r="AK707" s="3"/>
      <c r="AL707" s="3"/>
      <c r="AM707" s="3">
        <f>AN707+AO707+AP707+AQ707</f>
        <v>0</v>
      </c>
      <c r="AN707" s="3"/>
      <c r="AO707" s="3"/>
      <c r="AP707" s="3"/>
      <c r="AQ707" s="3"/>
    </row>
    <row r="708" spans="1:43" ht="35.450000000000003" customHeight="1">
      <c r="A708" s="197" t="s">
        <v>98</v>
      </c>
      <c r="B708" s="156"/>
      <c r="C708" s="111"/>
      <c r="D708" s="151"/>
      <c r="E708" s="111"/>
      <c r="F708" s="166"/>
      <c r="G708" s="166"/>
      <c r="H708" s="166"/>
      <c r="I708" s="371"/>
      <c r="J708" s="372"/>
      <c r="K708" s="373"/>
      <c r="L708" s="3"/>
      <c r="M708" s="87" t="s">
        <v>929</v>
      </c>
      <c r="N708" s="3">
        <f>P708+R708+T708+V708</f>
        <v>0</v>
      </c>
      <c r="O708" s="3">
        <f t="shared" si="172"/>
        <v>0</v>
      </c>
      <c r="P708" s="3"/>
      <c r="Q708" s="3"/>
      <c r="R708" s="3"/>
      <c r="S708" s="3"/>
      <c r="T708" s="3"/>
      <c r="U708" s="3"/>
      <c r="V708" s="3"/>
      <c r="W708" s="3"/>
      <c r="X708" s="3">
        <f t="shared" si="176"/>
        <v>0</v>
      </c>
      <c r="Y708" s="3"/>
      <c r="Z708" s="3"/>
      <c r="AA708" s="3"/>
      <c r="AB708" s="3"/>
      <c r="AC708" s="3">
        <f>AD708+AE708+AF708+AG708</f>
        <v>0</v>
      </c>
      <c r="AD708" s="3"/>
      <c r="AE708" s="3"/>
      <c r="AF708" s="3"/>
      <c r="AG708" s="3"/>
      <c r="AH708" s="3">
        <f t="shared" si="173"/>
        <v>0</v>
      </c>
      <c r="AI708" s="3"/>
      <c r="AJ708" s="3"/>
      <c r="AK708" s="3"/>
      <c r="AL708" s="3"/>
      <c r="AM708" s="3">
        <f>AN708+AO708+AP708+AQ708</f>
        <v>0</v>
      </c>
      <c r="AN708" s="3"/>
      <c r="AO708" s="3"/>
      <c r="AP708" s="3"/>
      <c r="AQ708" s="3"/>
    </row>
    <row r="709" spans="1:43" ht="35.450000000000003" customHeight="1">
      <c r="A709" s="197" t="s">
        <v>98</v>
      </c>
      <c r="B709" s="156"/>
      <c r="C709" s="111"/>
      <c r="D709" s="151"/>
      <c r="E709" s="111"/>
      <c r="F709" s="166"/>
      <c r="G709" s="166"/>
      <c r="H709" s="166"/>
      <c r="I709" s="124"/>
      <c r="J709" s="159"/>
      <c r="K709" s="374"/>
      <c r="L709" s="3"/>
      <c r="M709" s="87" t="s">
        <v>930</v>
      </c>
      <c r="N709" s="3">
        <f>P709+R709+T709+V709</f>
        <v>2251.6</v>
      </c>
      <c r="O709" s="3">
        <f t="shared" si="172"/>
        <v>2251.6</v>
      </c>
      <c r="P709" s="3"/>
      <c r="Q709" s="3"/>
      <c r="R709" s="3"/>
      <c r="S709" s="3"/>
      <c r="T709" s="3"/>
      <c r="U709" s="3"/>
      <c r="V709" s="3">
        <f>150+400+1885-183.4</f>
        <v>2251.6</v>
      </c>
      <c r="W709" s="3">
        <v>2251.6</v>
      </c>
      <c r="X709" s="3">
        <f t="shared" si="176"/>
        <v>0</v>
      </c>
      <c r="Y709" s="3"/>
      <c r="Z709" s="3"/>
      <c r="AA709" s="3"/>
      <c r="AB709" s="3"/>
      <c r="AC709" s="3">
        <f>AD709+AE709+AF709+AG709</f>
        <v>0</v>
      </c>
      <c r="AD709" s="3"/>
      <c r="AE709" s="3"/>
      <c r="AF709" s="3"/>
      <c r="AG709" s="3"/>
      <c r="AH709" s="3">
        <f t="shared" si="173"/>
        <v>0</v>
      </c>
      <c r="AI709" s="3"/>
      <c r="AJ709" s="3"/>
      <c r="AK709" s="3"/>
      <c r="AL709" s="3"/>
      <c r="AM709" s="3">
        <f>AN709+AO709+AP709+AQ709</f>
        <v>0</v>
      </c>
      <c r="AN709" s="3"/>
      <c r="AO709" s="3"/>
      <c r="AP709" s="3"/>
      <c r="AQ709" s="3"/>
    </row>
    <row r="710" spans="1:43" ht="35.450000000000003" customHeight="1">
      <c r="A710" s="197" t="s">
        <v>98</v>
      </c>
      <c r="B710" s="156"/>
      <c r="C710" s="111"/>
      <c r="D710" s="151"/>
      <c r="E710" s="111"/>
      <c r="F710" s="168"/>
      <c r="G710" s="168"/>
      <c r="H710" s="168"/>
      <c r="I710" s="124"/>
      <c r="J710" s="159"/>
      <c r="K710" s="374"/>
      <c r="L710" s="3"/>
      <c r="M710" s="87" t="s">
        <v>931</v>
      </c>
      <c r="N710" s="3"/>
      <c r="O710" s="3">
        <f t="shared" si="172"/>
        <v>0</v>
      </c>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row>
    <row r="711" spans="1:43" ht="35.450000000000003" customHeight="1">
      <c r="A711" s="197" t="s">
        <v>932</v>
      </c>
      <c r="B711" s="156"/>
      <c r="C711" s="375"/>
      <c r="D711" s="376"/>
      <c r="E711" s="376"/>
      <c r="F711" s="3"/>
      <c r="G711" s="3"/>
      <c r="H711" s="3"/>
      <c r="I711" s="377" t="s">
        <v>933</v>
      </c>
      <c r="J711" s="377" t="s">
        <v>153</v>
      </c>
      <c r="K711" s="378">
        <v>40179</v>
      </c>
      <c r="L711" s="3"/>
      <c r="M711" s="87" t="s">
        <v>934</v>
      </c>
      <c r="N711" s="3">
        <f>P711+R711+T711+V711</f>
        <v>6156.5</v>
      </c>
      <c r="O711" s="3">
        <f t="shared" si="172"/>
        <v>6092.8</v>
      </c>
      <c r="P711" s="3"/>
      <c r="Q711" s="3"/>
      <c r="R711" s="3">
        <v>281.2</v>
      </c>
      <c r="S711" s="3">
        <v>281.2</v>
      </c>
      <c r="T711" s="3"/>
      <c r="U711" s="3"/>
      <c r="V711" s="3">
        <f>5524.1+532.4+100-281.2</f>
        <v>5875.3</v>
      </c>
      <c r="W711" s="3">
        <f>6092.8-281.2</f>
        <v>5811.6</v>
      </c>
      <c r="X711" s="3">
        <f t="shared" si="176"/>
        <v>7194</v>
      </c>
      <c r="Y711" s="3"/>
      <c r="Z711" s="3"/>
      <c r="AA711" s="3"/>
      <c r="AB711" s="3">
        <f>6259+300+515.1+119.9</f>
        <v>7194</v>
      </c>
      <c r="AC711" s="3">
        <f>AD711+AE711+AF711+AG711</f>
        <v>6259</v>
      </c>
      <c r="AD711" s="3"/>
      <c r="AE711" s="3"/>
      <c r="AF711" s="3"/>
      <c r="AG711" s="3">
        <v>6259</v>
      </c>
      <c r="AH711" s="3">
        <f t="shared" si="173"/>
        <v>6259</v>
      </c>
      <c r="AI711" s="3"/>
      <c r="AJ711" s="3"/>
      <c r="AK711" s="3"/>
      <c r="AL711" s="3">
        <v>6259</v>
      </c>
      <c r="AM711" s="3">
        <f>AN711+AO711+AP711+AQ711</f>
        <v>6259</v>
      </c>
      <c r="AN711" s="3"/>
      <c r="AO711" s="3"/>
      <c r="AP711" s="3"/>
      <c r="AQ711" s="3">
        <v>6259</v>
      </c>
    </row>
    <row r="712" spans="1:43" ht="35.450000000000003" customHeight="1">
      <c r="A712" s="197" t="s">
        <v>932</v>
      </c>
      <c r="B712" s="156"/>
      <c r="C712" s="375"/>
      <c r="D712" s="376"/>
      <c r="E712" s="376"/>
      <c r="F712" s="3"/>
      <c r="G712" s="3"/>
      <c r="H712" s="3"/>
      <c r="I712" s="377" t="s">
        <v>935</v>
      </c>
      <c r="J712" s="377"/>
      <c r="K712" s="378"/>
      <c r="L712" s="3"/>
      <c r="M712" s="87" t="s">
        <v>936</v>
      </c>
      <c r="N712" s="3"/>
      <c r="O712" s="3"/>
      <c r="P712" s="3"/>
      <c r="Q712" s="3"/>
      <c r="R712" s="3"/>
      <c r="S712" s="3"/>
      <c r="T712" s="3"/>
      <c r="U712" s="3"/>
      <c r="V712" s="3"/>
      <c r="W712" s="3"/>
      <c r="X712" s="3">
        <f t="shared" si="176"/>
        <v>0.3</v>
      </c>
      <c r="Y712" s="3"/>
      <c r="Z712" s="3"/>
      <c r="AA712" s="3"/>
      <c r="AB712" s="3">
        <v>0.3</v>
      </c>
      <c r="AC712" s="3"/>
      <c r="AD712" s="3"/>
      <c r="AE712" s="3"/>
      <c r="AF712" s="3"/>
      <c r="AG712" s="3"/>
      <c r="AH712" s="3"/>
      <c r="AI712" s="3"/>
      <c r="AJ712" s="3"/>
      <c r="AK712" s="3"/>
      <c r="AL712" s="3"/>
      <c r="AM712" s="3"/>
      <c r="AN712" s="3"/>
      <c r="AO712" s="3"/>
      <c r="AP712" s="3"/>
      <c r="AQ712" s="3"/>
    </row>
    <row r="713" spans="1:43" ht="35.450000000000003" customHeight="1">
      <c r="A713" s="197" t="s">
        <v>932</v>
      </c>
      <c r="B713" s="156"/>
      <c r="C713" s="375"/>
      <c r="D713" s="376"/>
      <c r="E713" s="376"/>
      <c r="F713" s="3"/>
      <c r="G713" s="3"/>
      <c r="H713" s="3"/>
      <c r="I713" s="377"/>
      <c r="J713" s="377"/>
      <c r="K713" s="378"/>
      <c r="L713" s="3"/>
      <c r="M713" s="87" t="s">
        <v>937</v>
      </c>
      <c r="N713" s="3">
        <f>P713+R713+T713+V713</f>
        <v>468.8</v>
      </c>
      <c r="O713" s="3">
        <f t="shared" si="172"/>
        <v>443.6</v>
      </c>
      <c r="P713" s="3"/>
      <c r="Q713" s="3"/>
      <c r="R713" s="3"/>
      <c r="S713" s="3"/>
      <c r="T713" s="3"/>
      <c r="U713" s="3"/>
      <c r="V713" s="3">
        <f>168.8+300</f>
        <v>468.8</v>
      </c>
      <c r="W713" s="3">
        <v>443.6</v>
      </c>
      <c r="X713" s="3">
        <f t="shared" si="176"/>
        <v>319.7</v>
      </c>
      <c r="Y713" s="3"/>
      <c r="Z713" s="3"/>
      <c r="AA713" s="3"/>
      <c r="AB713" s="3">
        <f>320-0.3</f>
        <v>319.7</v>
      </c>
      <c r="AC713" s="3">
        <f>AD713+AE713+AF713+AG713</f>
        <v>320</v>
      </c>
      <c r="AD713" s="3"/>
      <c r="AE713" s="3"/>
      <c r="AF713" s="3"/>
      <c r="AG713" s="3">
        <v>320</v>
      </c>
      <c r="AH713" s="3">
        <f t="shared" si="173"/>
        <v>320</v>
      </c>
      <c r="AI713" s="3"/>
      <c r="AJ713" s="3"/>
      <c r="AK713" s="3"/>
      <c r="AL713" s="3">
        <v>320</v>
      </c>
      <c r="AM713" s="3">
        <f>AN713+AO713+AP713+AQ713</f>
        <v>320</v>
      </c>
      <c r="AN713" s="3"/>
      <c r="AO713" s="3"/>
      <c r="AP713" s="3"/>
      <c r="AQ713" s="3">
        <v>320</v>
      </c>
    </row>
    <row r="714" spans="1:43" ht="35.450000000000003" customHeight="1">
      <c r="A714" s="200" t="s">
        <v>938</v>
      </c>
      <c r="B714" s="160">
        <v>2613</v>
      </c>
      <c r="C714" s="379"/>
      <c r="D714" s="155"/>
      <c r="E714" s="155"/>
      <c r="F714" s="5"/>
      <c r="G714" s="5"/>
      <c r="H714" s="5"/>
      <c r="I714" s="380"/>
      <c r="J714" s="380"/>
      <c r="K714" s="380"/>
      <c r="L714" s="5">
        <v>23</v>
      </c>
      <c r="M714" s="87"/>
      <c r="N714" s="5">
        <f t="shared" ref="N714:W714" si="178">N715</f>
        <v>1175.2</v>
      </c>
      <c r="O714" s="5">
        <f t="shared" si="178"/>
        <v>1046.0999999999999</v>
      </c>
      <c r="P714" s="5">
        <f t="shared" si="178"/>
        <v>0</v>
      </c>
      <c r="Q714" s="5">
        <f t="shared" si="178"/>
        <v>0</v>
      </c>
      <c r="R714" s="5">
        <f t="shared" si="178"/>
        <v>0</v>
      </c>
      <c r="S714" s="5">
        <f t="shared" si="178"/>
        <v>0</v>
      </c>
      <c r="T714" s="5">
        <f t="shared" si="178"/>
        <v>0</v>
      </c>
      <c r="U714" s="5">
        <f t="shared" si="178"/>
        <v>0</v>
      </c>
      <c r="V714" s="5">
        <f t="shared" si="178"/>
        <v>1175.2</v>
      </c>
      <c r="W714" s="5">
        <f t="shared" si="178"/>
        <v>1046.0999999999999</v>
      </c>
      <c r="X714" s="5">
        <f>X715+X716+X717</f>
        <v>3370.8</v>
      </c>
      <c r="Y714" s="5">
        <f>Y715+Y716+Y717</f>
        <v>0</v>
      </c>
      <c r="Z714" s="5">
        <f>Z715+Z716+Z717</f>
        <v>0</v>
      </c>
      <c r="AA714" s="5">
        <f>AA715+AA716+AA717</f>
        <v>0</v>
      </c>
      <c r="AB714" s="5">
        <f>AB715+AB716+AB717</f>
        <v>3370.8</v>
      </c>
      <c r="AC714" s="5">
        <f t="shared" ref="AC714:AQ714" si="179">AC715</f>
        <v>0</v>
      </c>
      <c r="AD714" s="5">
        <f t="shared" si="179"/>
        <v>0</v>
      </c>
      <c r="AE714" s="5">
        <f t="shared" si="179"/>
        <v>0</v>
      </c>
      <c r="AF714" s="5">
        <f t="shared" si="179"/>
        <v>0</v>
      </c>
      <c r="AG714" s="5">
        <f t="shared" si="179"/>
        <v>0</v>
      </c>
      <c r="AH714" s="5">
        <f t="shared" si="179"/>
        <v>0</v>
      </c>
      <c r="AI714" s="5">
        <f t="shared" si="179"/>
        <v>0</v>
      </c>
      <c r="AJ714" s="5">
        <f t="shared" si="179"/>
        <v>0</v>
      </c>
      <c r="AK714" s="5">
        <f t="shared" si="179"/>
        <v>0</v>
      </c>
      <c r="AL714" s="5">
        <f t="shared" si="179"/>
        <v>0</v>
      </c>
      <c r="AM714" s="5">
        <f t="shared" si="179"/>
        <v>0</v>
      </c>
      <c r="AN714" s="5">
        <f t="shared" si="179"/>
        <v>0</v>
      </c>
      <c r="AO714" s="5">
        <f t="shared" si="179"/>
        <v>0</v>
      </c>
      <c r="AP714" s="5">
        <f t="shared" si="179"/>
        <v>0</v>
      </c>
      <c r="AQ714" s="5">
        <f t="shared" si="179"/>
        <v>0</v>
      </c>
    </row>
    <row r="715" spans="1:43" ht="35.450000000000003" customHeight="1" thickBot="1">
      <c r="A715" s="146" t="s">
        <v>30</v>
      </c>
      <c r="B715" s="91"/>
      <c r="C715" s="71"/>
      <c r="D715" s="3"/>
      <c r="E715" s="3"/>
      <c r="F715" s="3"/>
      <c r="G715" s="3"/>
      <c r="H715" s="3"/>
      <c r="I715" s="381" t="s">
        <v>939</v>
      </c>
      <c r="J715" s="158"/>
      <c r="K715" s="158"/>
      <c r="L715" s="382"/>
      <c r="M715" s="5"/>
      <c r="N715" s="3">
        <f>P715+R715+T715+V715</f>
        <v>1175.2</v>
      </c>
      <c r="O715" s="3">
        <f>Q715+S715+U715+W715</f>
        <v>1046.0999999999999</v>
      </c>
      <c r="P715" s="3"/>
      <c r="Q715" s="3"/>
      <c r="R715" s="3"/>
      <c r="S715" s="3"/>
      <c r="T715" s="3"/>
      <c r="U715" s="3"/>
      <c r="V715" s="3">
        <v>1175.2</v>
      </c>
      <c r="W715" s="3">
        <v>1046.0999999999999</v>
      </c>
      <c r="X715" s="3">
        <f>Y715+Z715+AA715+AB715</f>
        <v>0</v>
      </c>
      <c r="Y715" s="3"/>
      <c r="Z715" s="3"/>
      <c r="AA715" s="3"/>
      <c r="AB715" s="3"/>
      <c r="AC715" s="3">
        <f>AD715+AE715+AF715+AG715</f>
        <v>0</v>
      </c>
      <c r="AD715" s="3"/>
      <c r="AE715" s="3"/>
      <c r="AF715" s="3"/>
      <c r="AG715" s="3"/>
      <c r="AH715" s="3">
        <f>AI715+AJ715+AK715+AL715</f>
        <v>0</v>
      </c>
      <c r="AI715" s="3"/>
      <c r="AJ715" s="3"/>
      <c r="AK715" s="3"/>
      <c r="AL715" s="3"/>
      <c r="AM715" s="3">
        <f>AN715+AO715+AP715+AQ715</f>
        <v>0</v>
      </c>
      <c r="AN715" s="3"/>
      <c r="AO715" s="3"/>
      <c r="AP715" s="3"/>
      <c r="AQ715" s="3"/>
    </row>
    <row r="716" spans="1:43" ht="35.450000000000003" customHeight="1">
      <c r="A716" s="146" t="s">
        <v>30</v>
      </c>
      <c r="B716" s="206"/>
      <c r="C716" s="84" t="s">
        <v>191</v>
      </c>
      <c r="D716" s="84" t="s">
        <v>940</v>
      </c>
      <c r="E716" s="84" t="s">
        <v>193</v>
      </c>
      <c r="F716" s="84" t="s">
        <v>941</v>
      </c>
      <c r="G716" s="84" t="s">
        <v>942</v>
      </c>
      <c r="H716" s="84" t="s">
        <v>943</v>
      </c>
      <c r="I716" s="85" t="s">
        <v>21</v>
      </c>
      <c r="J716" s="85"/>
      <c r="K716" s="86" t="s">
        <v>23</v>
      </c>
      <c r="L716" s="382"/>
      <c r="M716" s="87" t="s">
        <v>944</v>
      </c>
      <c r="N716" s="3"/>
      <c r="O716" s="3"/>
      <c r="P716" s="3"/>
      <c r="Q716" s="3"/>
      <c r="R716" s="3"/>
      <c r="S716" s="3"/>
      <c r="T716" s="3"/>
      <c r="U716" s="3"/>
      <c r="V716" s="3"/>
      <c r="W716" s="3"/>
      <c r="X716" s="3">
        <f>Y716+Z716+AA716+AB716</f>
        <v>3370.8</v>
      </c>
      <c r="Y716" s="3"/>
      <c r="Z716" s="3"/>
      <c r="AA716" s="3"/>
      <c r="AB716" s="3">
        <v>3370.8</v>
      </c>
      <c r="AC716" s="3"/>
      <c r="AD716" s="3"/>
      <c r="AE716" s="3"/>
      <c r="AF716" s="3"/>
      <c r="AG716" s="3"/>
      <c r="AH716" s="3"/>
      <c r="AI716" s="3"/>
      <c r="AJ716" s="3"/>
      <c r="AK716" s="3"/>
      <c r="AL716" s="3"/>
      <c r="AM716" s="3"/>
      <c r="AN716" s="3"/>
      <c r="AO716" s="3"/>
      <c r="AP716" s="3"/>
      <c r="AQ716" s="3"/>
    </row>
    <row r="717" spans="1:43" ht="35.450000000000003" customHeight="1">
      <c r="A717" s="146" t="s">
        <v>30</v>
      </c>
      <c r="B717" s="206"/>
      <c r="C717" s="84" t="s">
        <v>945</v>
      </c>
      <c r="D717" s="84" t="s">
        <v>946</v>
      </c>
      <c r="E717" s="84" t="s">
        <v>947</v>
      </c>
      <c r="F717" s="3"/>
      <c r="G717" s="3"/>
      <c r="H717" s="3"/>
      <c r="I717" s="383"/>
      <c r="J717" s="158"/>
      <c r="K717" s="158"/>
      <c r="L717" s="3"/>
      <c r="M717" s="87" t="s">
        <v>948</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row>
    <row r="718" spans="1:43" ht="35.450000000000003" customHeight="1">
      <c r="A718" s="384" t="s">
        <v>949</v>
      </c>
      <c r="B718" s="385">
        <v>2623</v>
      </c>
      <c r="C718" s="78"/>
      <c r="D718" s="5"/>
      <c r="E718" s="5"/>
      <c r="F718" s="5"/>
      <c r="G718" s="5"/>
      <c r="H718" s="5"/>
      <c r="I718" s="386"/>
      <c r="J718" s="5"/>
      <c r="K718" s="5"/>
      <c r="L718" s="5">
        <v>23</v>
      </c>
      <c r="M718" s="87" t="s">
        <v>950</v>
      </c>
      <c r="N718" s="126">
        <f t="shared" ref="N718:AQ718" si="180">N719+N720</f>
        <v>2470.3999999999996</v>
      </c>
      <c r="O718" s="126">
        <f t="shared" si="180"/>
        <v>2468.8999999999996</v>
      </c>
      <c r="P718" s="126">
        <f t="shared" si="180"/>
        <v>0</v>
      </c>
      <c r="Q718" s="126">
        <f t="shared" si="180"/>
        <v>0</v>
      </c>
      <c r="R718" s="126">
        <f t="shared" si="180"/>
        <v>0</v>
      </c>
      <c r="S718" s="126">
        <f t="shared" si="180"/>
        <v>0</v>
      </c>
      <c r="T718" s="126">
        <f t="shared" si="180"/>
        <v>0</v>
      </c>
      <c r="U718" s="126">
        <f t="shared" si="180"/>
        <v>0</v>
      </c>
      <c r="V718" s="126">
        <f t="shared" si="180"/>
        <v>2470.3999999999996</v>
      </c>
      <c r="W718" s="126">
        <f t="shared" si="180"/>
        <v>2468.8999999999996</v>
      </c>
      <c r="X718" s="126">
        <f t="shared" si="180"/>
        <v>2984.6</v>
      </c>
      <c r="Y718" s="126">
        <f t="shared" si="180"/>
        <v>0</v>
      </c>
      <c r="Z718" s="126">
        <f t="shared" si="180"/>
        <v>0</v>
      </c>
      <c r="AA718" s="126">
        <f t="shared" si="180"/>
        <v>0</v>
      </c>
      <c r="AB718" s="126">
        <f t="shared" si="180"/>
        <v>2984.6</v>
      </c>
      <c r="AC718" s="126">
        <f t="shared" si="180"/>
        <v>2600.1</v>
      </c>
      <c r="AD718" s="126">
        <f t="shared" si="180"/>
        <v>0</v>
      </c>
      <c r="AE718" s="126">
        <f t="shared" si="180"/>
        <v>0</v>
      </c>
      <c r="AF718" s="126">
        <f t="shared" si="180"/>
        <v>0</v>
      </c>
      <c r="AG718" s="126">
        <f t="shared" si="180"/>
        <v>2600.1</v>
      </c>
      <c r="AH718" s="126">
        <f t="shared" si="180"/>
        <v>2600.1</v>
      </c>
      <c r="AI718" s="126">
        <f t="shared" si="180"/>
        <v>0</v>
      </c>
      <c r="AJ718" s="126">
        <f t="shared" si="180"/>
        <v>0</v>
      </c>
      <c r="AK718" s="126">
        <f t="shared" si="180"/>
        <v>0</v>
      </c>
      <c r="AL718" s="126">
        <f t="shared" si="180"/>
        <v>2600.1</v>
      </c>
      <c r="AM718" s="126">
        <f t="shared" si="180"/>
        <v>2600.1</v>
      </c>
      <c r="AN718" s="126">
        <f t="shared" si="180"/>
        <v>0</v>
      </c>
      <c r="AO718" s="126">
        <f t="shared" si="180"/>
        <v>0</v>
      </c>
      <c r="AP718" s="126">
        <f t="shared" si="180"/>
        <v>0</v>
      </c>
      <c r="AQ718" s="126">
        <f t="shared" si="180"/>
        <v>2600.1</v>
      </c>
    </row>
    <row r="719" spans="1:43" ht="35.450000000000003" customHeight="1">
      <c r="A719" s="387" t="s">
        <v>951</v>
      </c>
      <c r="B719" s="194"/>
      <c r="C719" s="118" t="s">
        <v>191</v>
      </c>
      <c r="D719" s="118" t="s">
        <v>952</v>
      </c>
      <c r="E719" s="118" t="s">
        <v>271</v>
      </c>
      <c r="F719" s="388" t="s">
        <v>953</v>
      </c>
      <c r="G719" s="388"/>
      <c r="H719" s="388" t="s">
        <v>954</v>
      </c>
      <c r="I719" s="87" t="s">
        <v>955</v>
      </c>
      <c r="J719" s="364" t="s">
        <v>277</v>
      </c>
      <c r="K719" s="127"/>
      <c r="L719" s="3">
        <v>23</v>
      </c>
      <c r="M719" s="87" t="s">
        <v>956</v>
      </c>
      <c r="N719" s="3">
        <f>P719+R719+T719+V719</f>
        <v>2445.1999999999998</v>
      </c>
      <c r="O719" s="3">
        <f>Q719+S719+U719+W719</f>
        <v>2445.1999999999998</v>
      </c>
      <c r="P719" s="3"/>
      <c r="Q719" s="3"/>
      <c r="R719" s="3"/>
      <c r="S719" s="3"/>
      <c r="T719" s="3"/>
      <c r="U719" s="3"/>
      <c r="V719" s="3">
        <f>2735.1-289.9</f>
        <v>2445.1999999999998</v>
      </c>
      <c r="W719" s="3">
        <v>2445.1999999999998</v>
      </c>
      <c r="X719" s="3">
        <f>Y719+Z719+AA719+AB719</f>
        <v>2954.6</v>
      </c>
      <c r="Y719" s="3"/>
      <c r="Z719" s="3"/>
      <c r="AA719" s="3"/>
      <c r="AB719" s="3">
        <f>2575.1+379.5</f>
        <v>2954.6</v>
      </c>
      <c r="AC719" s="3">
        <f>AD719+AE719+AF719+AG719</f>
        <v>2575.1</v>
      </c>
      <c r="AD719" s="3"/>
      <c r="AE719" s="3"/>
      <c r="AF719" s="3"/>
      <c r="AG719" s="3">
        <v>2575.1</v>
      </c>
      <c r="AH719" s="3">
        <f>AI719+AJ719+AK719+AL719</f>
        <v>2575.1</v>
      </c>
      <c r="AI719" s="3"/>
      <c r="AJ719" s="3"/>
      <c r="AK719" s="3"/>
      <c r="AL719" s="3">
        <v>2575.1</v>
      </c>
      <c r="AM719" s="3">
        <f>AN719+AO719+AP719+AQ719</f>
        <v>2575.1</v>
      </c>
      <c r="AN719" s="3"/>
      <c r="AO719" s="3"/>
      <c r="AP719" s="3"/>
      <c r="AQ719" s="3">
        <v>2575.1</v>
      </c>
    </row>
    <row r="720" spans="1:43" ht="35.450000000000003" customHeight="1">
      <c r="A720" s="387" t="s">
        <v>951</v>
      </c>
      <c r="B720" s="194"/>
      <c r="C720" s="64" t="s">
        <v>957</v>
      </c>
      <c r="D720" s="64" t="s">
        <v>958</v>
      </c>
      <c r="E720" s="64" t="s">
        <v>959</v>
      </c>
      <c r="F720" s="388"/>
      <c r="G720" s="388"/>
      <c r="H720" s="388"/>
      <c r="I720" s="87"/>
      <c r="J720" s="364"/>
      <c r="K720" s="127"/>
      <c r="L720" s="3"/>
      <c r="M720" s="87" t="s">
        <v>960</v>
      </c>
      <c r="N720" s="3">
        <f>P720+R720+T720+V720</f>
        <v>25.2</v>
      </c>
      <c r="O720" s="3">
        <f>Q720+S720+U720+W720</f>
        <v>23.7</v>
      </c>
      <c r="P720" s="3"/>
      <c r="Q720" s="3"/>
      <c r="R720" s="3"/>
      <c r="S720" s="3"/>
      <c r="T720" s="3"/>
      <c r="U720" s="3"/>
      <c r="V720" s="3">
        <f>22.5+2.7</f>
        <v>25.2</v>
      </c>
      <c r="W720" s="3">
        <v>23.7</v>
      </c>
      <c r="X720" s="3">
        <f>Y720+Z720+AA720+AB720</f>
        <v>30</v>
      </c>
      <c r="Y720" s="3"/>
      <c r="Z720" s="3"/>
      <c r="AA720" s="3"/>
      <c r="AB720" s="3">
        <f>25+5</f>
        <v>30</v>
      </c>
      <c r="AC720" s="3">
        <f>AD720+AE720+AF720+AG720</f>
        <v>25</v>
      </c>
      <c r="AD720" s="3"/>
      <c r="AE720" s="3"/>
      <c r="AF720" s="3"/>
      <c r="AG720" s="3">
        <v>25</v>
      </c>
      <c r="AH720" s="3">
        <f>AI720+AJ720+AK720+AL720</f>
        <v>25</v>
      </c>
      <c r="AI720" s="3"/>
      <c r="AJ720" s="3"/>
      <c r="AK720" s="3"/>
      <c r="AL720" s="3">
        <v>25</v>
      </c>
      <c r="AM720" s="3">
        <f>AN720+AO720+AP720+AQ720</f>
        <v>25</v>
      </c>
      <c r="AN720" s="3"/>
      <c r="AO720" s="3"/>
      <c r="AP720" s="3"/>
      <c r="AQ720" s="3">
        <v>25</v>
      </c>
    </row>
    <row r="721" spans="1:43" ht="35.450000000000003" customHeight="1">
      <c r="A721" s="389" t="s">
        <v>961</v>
      </c>
      <c r="B721" s="390">
        <v>2624</v>
      </c>
      <c r="C721" s="391"/>
      <c r="D721" s="391"/>
      <c r="E721" s="391"/>
      <c r="F721" s="392"/>
      <c r="G721" s="392"/>
      <c r="H721" s="392"/>
      <c r="I721" s="393"/>
      <c r="J721" s="394"/>
      <c r="K721" s="126"/>
      <c r="L721" s="5">
        <v>23</v>
      </c>
      <c r="M721" s="87"/>
      <c r="N721" s="5">
        <f t="shared" ref="N721:W721" si="181">N722+N723+N724+N211+N212+N214+N215+N213</f>
        <v>24043.799999999996</v>
      </c>
      <c r="O721" s="5">
        <f t="shared" si="181"/>
        <v>22593.3</v>
      </c>
      <c r="P721" s="5">
        <f t="shared" si="181"/>
        <v>11287.5</v>
      </c>
      <c r="Q721" s="5">
        <f t="shared" si="181"/>
        <v>10755.599999999999</v>
      </c>
      <c r="R721" s="5">
        <f t="shared" si="181"/>
        <v>12732.300000000001</v>
      </c>
      <c r="S721" s="5">
        <f t="shared" si="181"/>
        <v>11815.2</v>
      </c>
      <c r="T721" s="5">
        <f t="shared" si="181"/>
        <v>0</v>
      </c>
      <c r="U721" s="5">
        <f t="shared" si="181"/>
        <v>0</v>
      </c>
      <c r="V721" s="5">
        <f t="shared" si="181"/>
        <v>24</v>
      </c>
      <c r="W721" s="5">
        <f t="shared" si="181"/>
        <v>22.5</v>
      </c>
      <c r="X721" s="5">
        <f>X722+X723+X724</f>
        <v>17839.300000000003</v>
      </c>
      <c r="Y721" s="5">
        <f t="shared" ref="Y721:AQ721" si="182">Y722+Y723+Y724</f>
        <v>12475.100000000002</v>
      </c>
      <c r="Z721" s="5">
        <f t="shared" si="182"/>
        <v>5346.4</v>
      </c>
      <c r="AA721" s="5">
        <f t="shared" si="182"/>
        <v>0</v>
      </c>
      <c r="AB721" s="5">
        <f t="shared" si="182"/>
        <v>17.8</v>
      </c>
      <c r="AC721" s="5">
        <f t="shared" si="182"/>
        <v>17113.599999999999</v>
      </c>
      <c r="AD721" s="5">
        <f t="shared" si="182"/>
        <v>11454.7</v>
      </c>
      <c r="AE721" s="5">
        <f t="shared" si="182"/>
        <v>5641.7999999999993</v>
      </c>
      <c r="AF721" s="5">
        <f t="shared" si="182"/>
        <v>0</v>
      </c>
      <c r="AG721" s="5">
        <f t="shared" si="182"/>
        <v>17.100000000000001</v>
      </c>
      <c r="AH721" s="5">
        <f t="shared" si="182"/>
        <v>16497.800000000003</v>
      </c>
      <c r="AI721" s="5">
        <f t="shared" si="182"/>
        <v>10548.1</v>
      </c>
      <c r="AJ721" s="5">
        <f t="shared" si="182"/>
        <v>5933.3</v>
      </c>
      <c r="AK721" s="5">
        <f t="shared" si="182"/>
        <v>0</v>
      </c>
      <c r="AL721" s="5">
        <f t="shared" si="182"/>
        <v>16.399999999999999</v>
      </c>
      <c r="AM721" s="5">
        <f t="shared" si="182"/>
        <v>16497.800000000003</v>
      </c>
      <c r="AN721" s="5">
        <f t="shared" si="182"/>
        <v>10548.1</v>
      </c>
      <c r="AO721" s="5">
        <f t="shared" si="182"/>
        <v>5933.3</v>
      </c>
      <c r="AP721" s="5">
        <f t="shared" si="182"/>
        <v>0</v>
      </c>
      <c r="AQ721" s="5">
        <f t="shared" si="182"/>
        <v>16.399999999999999</v>
      </c>
    </row>
    <row r="722" spans="1:43" ht="35.450000000000003" customHeight="1" thickBot="1">
      <c r="A722" s="72" t="s">
        <v>310</v>
      </c>
      <c r="B722" s="80"/>
      <c r="C722" s="84" t="s">
        <v>962</v>
      </c>
      <c r="D722" s="84" t="s">
        <v>963</v>
      </c>
      <c r="E722" s="84" t="s">
        <v>964</v>
      </c>
      <c r="F722" s="84" t="s">
        <v>965</v>
      </c>
      <c r="G722" s="84" t="s">
        <v>67</v>
      </c>
      <c r="H722" s="84" t="s">
        <v>966</v>
      </c>
      <c r="I722" s="64" t="s">
        <v>1260</v>
      </c>
      <c r="J722" s="64" t="s">
        <v>277</v>
      </c>
      <c r="K722" s="4"/>
      <c r="L722" s="3"/>
      <c r="M722" s="87" t="s">
        <v>967</v>
      </c>
      <c r="N722" s="3">
        <f t="shared" ref="N722:O724" si="183">P722+R722+T722+V722</f>
        <v>12177.5</v>
      </c>
      <c r="O722" s="3">
        <f>Q722+S722+U722+W722</f>
        <v>11713.5</v>
      </c>
      <c r="P722" s="3">
        <f>8791.8-154.4</f>
        <v>8637.4</v>
      </c>
      <c r="Q722" s="3">
        <v>8308.2999999999993</v>
      </c>
      <c r="R722" s="3">
        <f>3591-63.1</f>
        <v>3527.9</v>
      </c>
      <c r="S722" s="3">
        <v>3393.5</v>
      </c>
      <c r="T722" s="3"/>
      <c r="U722" s="3"/>
      <c r="V722" s="3">
        <f>12.4-0.2</f>
        <v>12.200000000000001</v>
      </c>
      <c r="W722" s="3">
        <v>11.7</v>
      </c>
      <c r="X722" s="3">
        <f>Y722+Z722+AA722+AB722</f>
        <v>13962.400000000001</v>
      </c>
      <c r="Y722" s="3">
        <f>9775.1-1162.7+634.2+334.6+182.7</f>
        <v>9763.9000000000015</v>
      </c>
      <c r="Z722" s="3">
        <f>4189.3-498.3+271.8+143.4+78.3</f>
        <v>4184.5</v>
      </c>
      <c r="AA722" s="3"/>
      <c r="AB722" s="3">
        <v>14</v>
      </c>
      <c r="AC722" s="3">
        <f>AD722+AE722+AF722+AG722</f>
        <v>13882.699999999999</v>
      </c>
      <c r="AD722" s="3">
        <v>9292.1</v>
      </c>
      <c r="AE722" s="3">
        <v>4576.7</v>
      </c>
      <c r="AF722" s="3"/>
      <c r="AG722" s="3">
        <v>13.9</v>
      </c>
      <c r="AH722" s="3">
        <f>AI722+AJ722+AK722+AL722</f>
        <v>5648.7000000000007</v>
      </c>
      <c r="AI722" s="3">
        <v>3611.6</v>
      </c>
      <c r="AJ722" s="3">
        <v>2031.5</v>
      </c>
      <c r="AK722" s="3"/>
      <c r="AL722" s="3">
        <v>5.6</v>
      </c>
      <c r="AM722" s="3">
        <f>AN722+AO722+AP722+AQ722</f>
        <v>5648.7000000000007</v>
      </c>
      <c r="AN722" s="3">
        <v>3611.6</v>
      </c>
      <c r="AO722" s="3">
        <v>2031.5</v>
      </c>
      <c r="AP722" s="3"/>
      <c r="AQ722" s="3">
        <v>5.6</v>
      </c>
    </row>
    <row r="723" spans="1:43" ht="35.450000000000003" customHeight="1" thickBot="1">
      <c r="A723" s="72" t="s">
        <v>310</v>
      </c>
      <c r="B723" s="80"/>
      <c r="C723" s="64" t="s">
        <v>287</v>
      </c>
      <c r="D723" s="64" t="s">
        <v>321</v>
      </c>
      <c r="E723" s="64" t="s">
        <v>288</v>
      </c>
      <c r="F723" s="64"/>
      <c r="G723" s="64"/>
      <c r="H723" s="223"/>
      <c r="I723" s="219"/>
      <c r="J723" s="64"/>
      <c r="K723" s="4"/>
      <c r="L723" s="3"/>
      <c r="M723" s="87" t="s">
        <v>968</v>
      </c>
      <c r="N723" s="3">
        <f t="shared" si="183"/>
        <v>3736.2</v>
      </c>
      <c r="O723" s="3">
        <f t="shared" si="183"/>
        <v>3450.2999999999997</v>
      </c>
      <c r="P723" s="3">
        <f>3005.1-355</f>
        <v>2650.1</v>
      </c>
      <c r="Q723" s="3">
        <f>2447.2+0.1</f>
        <v>2447.2999999999997</v>
      </c>
      <c r="R723" s="3">
        <f>1227.5-145.1</f>
        <v>1082.4000000000001</v>
      </c>
      <c r="S723" s="3">
        <v>999.6</v>
      </c>
      <c r="T723" s="3"/>
      <c r="U723" s="3"/>
      <c r="V723" s="3">
        <f>4.2-0.5</f>
        <v>3.7</v>
      </c>
      <c r="W723" s="3">
        <v>3.4</v>
      </c>
      <c r="X723" s="3">
        <f>Y723+Z723+AA723+AB723</f>
        <v>3876.9</v>
      </c>
      <c r="Y723" s="3">
        <f>2795.2-84</f>
        <v>2711.2</v>
      </c>
      <c r="Z723" s="3">
        <f>1197.9-36</f>
        <v>1161.9000000000001</v>
      </c>
      <c r="AA723" s="3"/>
      <c r="AB723" s="3">
        <f>4-1-0.1+0.9</f>
        <v>3.8</v>
      </c>
      <c r="AC723" s="3">
        <f>AD723+AE723+AF723+AG723</f>
        <v>3230.8999999999996</v>
      </c>
      <c r="AD723" s="3">
        <v>2162.6</v>
      </c>
      <c r="AE723" s="3">
        <v>1065.0999999999999</v>
      </c>
      <c r="AF723" s="3"/>
      <c r="AG723" s="3">
        <v>3.2</v>
      </c>
      <c r="AH723" s="3">
        <f>AI723+AJ723+AK723+AL723</f>
        <v>1615.1999999999998</v>
      </c>
      <c r="AI723" s="3">
        <v>1032.7</v>
      </c>
      <c r="AJ723" s="3">
        <v>580.9</v>
      </c>
      <c r="AK723" s="3"/>
      <c r="AL723" s="3">
        <v>1.6</v>
      </c>
      <c r="AM723" s="3">
        <f>AN723+AO723+AP723+AQ723</f>
        <v>1615.1999999999998</v>
      </c>
      <c r="AN723" s="3">
        <v>1032.7</v>
      </c>
      <c r="AO723" s="3">
        <v>580.9</v>
      </c>
      <c r="AP723" s="3"/>
      <c r="AQ723" s="3">
        <v>1.6</v>
      </c>
    </row>
    <row r="724" spans="1:43" ht="35.450000000000003" customHeight="1" thickBot="1">
      <c r="A724" s="72" t="s">
        <v>310</v>
      </c>
      <c r="B724" s="80"/>
      <c r="C724" s="254"/>
      <c r="D724" s="254"/>
      <c r="E724" s="254"/>
      <c r="F724" s="64"/>
      <c r="G724" s="64"/>
      <c r="H724" s="223"/>
      <c r="I724" s="219"/>
      <c r="J724" s="64"/>
      <c r="K724" s="4"/>
      <c r="L724" s="3"/>
      <c r="M724" s="87" t="s">
        <v>969</v>
      </c>
      <c r="N724" s="3">
        <f t="shared" si="183"/>
        <v>0</v>
      </c>
      <c r="O724" s="3">
        <f t="shared" si="183"/>
        <v>0</v>
      </c>
      <c r="P724" s="3">
        <f>1613.3-1613.3</f>
        <v>0</v>
      </c>
      <c r="Q724" s="3"/>
      <c r="R724" s="3">
        <f>659-659</f>
        <v>0</v>
      </c>
      <c r="S724" s="3"/>
      <c r="T724" s="3"/>
      <c r="U724" s="3"/>
      <c r="V724" s="3">
        <f>2.3-2.3</f>
        <v>0</v>
      </c>
      <c r="W724" s="3"/>
      <c r="X724" s="3">
        <f>Y724+Z724+AA724+AB724</f>
        <v>0</v>
      </c>
      <c r="Y724" s="3">
        <f>430.4-430.4</f>
        <v>0</v>
      </c>
      <c r="Z724" s="3">
        <f>184.5-184.5</f>
        <v>0</v>
      </c>
      <c r="AA724" s="3"/>
      <c r="AB724" s="3">
        <f>0.6-0.6</f>
        <v>0</v>
      </c>
      <c r="AC724" s="3">
        <f>AD724+AE724+AF724+AG724</f>
        <v>0</v>
      </c>
      <c r="AD724" s="3">
        <v>0</v>
      </c>
      <c r="AE724" s="3">
        <v>0</v>
      </c>
      <c r="AF724" s="3"/>
      <c r="AG724" s="3">
        <v>0</v>
      </c>
      <c r="AH724" s="3">
        <f>AI724+AJ724+AK724+AL724</f>
        <v>9233.9000000000015</v>
      </c>
      <c r="AI724" s="3">
        <v>5903.8</v>
      </c>
      <c r="AJ724" s="3">
        <v>3320.9</v>
      </c>
      <c r="AK724" s="3"/>
      <c r="AL724" s="3">
        <v>9.1999999999999993</v>
      </c>
      <c r="AM724" s="3">
        <f>AN724+AO724+AP724+AQ724</f>
        <v>9233.9000000000015</v>
      </c>
      <c r="AN724" s="3">
        <v>5903.8</v>
      </c>
      <c r="AO724" s="3">
        <v>3320.9</v>
      </c>
      <c r="AP724" s="3"/>
      <c r="AQ724" s="3">
        <v>9.1999999999999993</v>
      </c>
    </row>
    <row r="725" spans="1:43" ht="35.450000000000003" customHeight="1" thickBot="1">
      <c r="A725" s="395" t="s">
        <v>970</v>
      </c>
      <c r="B725" s="79">
        <v>2625</v>
      </c>
      <c r="C725" s="78"/>
      <c r="D725" s="5"/>
      <c r="E725" s="5"/>
      <c r="F725" s="260"/>
      <c r="G725" s="260"/>
      <c r="H725" s="260"/>
      <c r="I725" s="260"/>
      <c r="J725" s="260"/>
      <c r="K725" s="260"/>
      <c r="L725" s="260"/>
      <c r="M725" s="196" t="s">
        <v>971</v>
      </c>
      <c r="N725" s="5">
        <f>N726+N727+N728+N729+N730+N731+N732</f>
        <v>3531.2999999999997</v>
      </c>
      <c r="O725" s="5">
        <f t="shared" ref="O725:W725" si="184">O726+O727+O728+O729+O730+O731+O732</f>
        <v>2731.2999999999997</v>
      </c>
      <c r="P725" s="5">
        <f t="shared" si="184"/>
        <v>0</v>
      </c>
      <c r="Q725" s="5">
        <f t="shared" si="184"/>
        <v>0</v>
      </c>
      <c r="R725" s="5">
        <f t="shared" si="184"/>
        <v>1381.2999999999997</v>
      </c>
      <c r="S725" s="5">
        <f t="shared" si="184"/>
        <v>1381.2999999999997</v>
      </c>
      <c r="T725" s="5">
        <f t="shared" si="184"/>
        <v>0</v>
      </c>
      <c r="U725" s="5">
        <f t="shared" si="184"/>
        <v>0</v>
      </c>
      <c r="V725" s="5">
        <f t="shared" si="184"/>
        <v>2150</v>
      </c>
      <c r="W725" s="5">
        <f t="shared" si="184"/>
        <v>1350</v>
      </c>
      <c r="X725" s="5">
        <f>X726+X727+X728+X729+X730+X731+X732+X733</f>
        <v>6857.9000000000005</v>
      </c>
      <c r="Y725" s="5">
        <f t="shared" ref="Y725:AQ725" si="185">Y726+Y727+Y728+Y729+Y730+Y731+Y732+Y733</f>
        <v>0</v>
      </c>
      <c r="Z725" s="5">
        <f t="shared" si="185"/>
        <v>2842.9</v>
      </c>
      <c r="AA725" s="5">
        <f t="shared" si="185"/>
        <v>0</v>
      </c>
      <c r="AB725" s="5">
        <f t="shared" si="185"/>
        <v>4015</v>
      </c>
      <c r="AC725" s="5">
        <f t="shared" si="185"/>
        <v>2867.0000000000005</v>
      </c>
      <c r="AD725" s="5">
        <f t="shared" si="185"/>
        <v>0</v>
      </c>
      <c r="AE725" s="5">
        <f t="shared" si="185"/>
        <v>867</v>
      </c>
      <c r="AF725" s="5">
        <f t="shared" si="185"/>
        <v>0</v>
      </c>
      <c r="AG725" s="5">
        <f t="shared" si="185"/>
        <v>2000</v>
      </c>
      <c r="AH725" s="5">
        <f t="shared" si="185"/>
        <v>2867.0000000000005</v>
      </c>
      <c r="AI725" s="5">
        <f t="shared" si="185"/>
        <v>0</v>
      </c>
      <c r="AJ725" s="5">
        <f t="shared" si="185"/>
        <v>867</v>
      </c>
      <c r="AK725" s="5">
        <f t="shared" si="185"/>
        <v>0</v>
      </c>
      <c r="AL725" s="5">
        <f t="shared" si="185"/>
        <v>2000</v>
      </c>
      <c r="AM725" s="5">
        <f t="shared" si="185"/>
        <v>2867.0000000000005</v>
      </c>
      <c r="AN725" s="5">
        <f t="shared" si="185"/>
        <v>0</v>
      </c>
      <c r="AO725" s="5">
        <f t="shared" si="185"/>
        <v>867</v>
      </c>
      <c r="AP725" s="5">
        <f t="shared" si="185"/>
        <v>0</v>
      </c>
      <c r="AQ725" s="5">
        <f t="shared" si="185"/>
        <v>2000</v>
      </c>
    </row>
    <row r="726" spans="1:43" ht="35.450000000000003" customHeight="1">
      <c r="A726" s="200" t="s">
        <v>972</v>
      </c>
      <c r="B726" s="194"/>
      <c r="C726" s="84" t="s">
        <v>962</v>
      </c>
      <c r="D726" s="84" t="s">
        <v>973</v>
      </c>
      <c r="E726" s="84" t="s">
        <v>964</v>
      </c>
      <c r="F726" s="84" t="s">
        <v>974</v>
      </c>
      <c r="G726" s="84"/>
      <c r="H726" s="84" t="s">
        <v>975</v>
      </c>
      <c r="I726" s="87" t="s">
        <v>976</v>
      </c>
      <c r="J726" s="158"/>
      <c r="K726" s="158"/>
      <c r="L726" s="158"/>
      <c r="M726" s="125" t="s">
        <v>977</v>
      </c>
      <c r="N726" s="3">
        <f t="shared" ref="N726:O731" si="186">P726+R726+T726+V726</f>
        <v>150</v>
      </c>
      <c r="O726" s="3">
        <f t="shared" si="186"/>
        <v>150</v>
      </c>
      <c r="P726" s="158"/>
      <c r="Q726" s="158"/>
      <c r="R726" s="158"/>
      <c r="S726" s="158"/>
      <c r="T726" s="158"/>
      <c r="U726" s="158"/>
      <c r="V726" s="158">
        <v>150</v>
      </c>
      <c r="W726" s="158">
        <v>150</v>
      </c>
      <c r="X726" s="3">
        <f>Y726+Z726+AA726+AB726</f>
        <v>15</v>
      </c>
      <c r="Y726" s="158"/>
      <c r="Z726" s="158"/>
      <c r="AA726" s="158"/>
      <c r="AB726" s="158">
        <v>15</v>
      </c>
      <c r="AC726" s="3">
        <f>AD726+AE726+AF726+AG726</f>
        <v>0</v>
      </c>
      <c r="AD726" s="158"/>
      <c r="AE726" s="158"/>
      <c r="AF726" s="158"/>
      <c r="AG726" s="158"/>
      <c r="AH726" s="3">
        <f>AI726+AJ726+AK726+AL726</f>
        <v>0</v>
      </c>
      <c r="AI726" s="158"/>
      <c r="AJ726" s="158"/>
      <c r="AK726" s="158"/>
      <c r="AL726" s="158"/>
      <c r="AM726" s="3">
        <f>AN726+AO726+AP726+AQ726</f>
        <v>0</v>
      </c>
      <c r="AN726" s="158"/>
      <c r="AO726" s="158"/>
      <c r="AP726" s="158"/>
      <c r="AQ726" s="158"/>
    </row>
    <row r="727" spans="1:43" ht="35.450000000000003" customHeight="1">
      <c r="A727" s="396" t="s">
        <v>978</v>
      </c>
      <c r="B727" s="194"/>
      <c r="C727" s="124"/>
      <c r="D727" s="158"/>
      <c r="E727" s="158"/>
      <c r="F727" s="158"/>
      <c r="G727" s="158"/>
      <c r="H727" s="158"/>
      <c r="I727" s="87" t="s">
        <v>979</v>
      </c>
      <c r="J727" s="158"/>
      <c r="K727" s="158"/>
      <c r="L727" s="158"/>
      <c r="M727" s="125" t="s">
        <v>980</v>
      </c>
      <c r="N727" s="158">
        <f t="shared" si="186"/>
        <v>2000</v>
      </c>
      <c r="O727" s="158">
        <f t="shared" si="186"/>
        <v>1200</v>
      </c>
      <c r="P727" s="158"/>
      <c r="Q727" s="158"/>
      <c r="R727" s="158"/>
      <c r="S727" s="158"/>
      <c r="T727" s="158"/>
      <c r="U727" s="158"/>
      <c r="V727" s="158">
        <v>2000</v>
      </c>
      <c r="W727" s="158">
        <v>1200</v>
      </c>
      <c r="X727" s="3">
        <f>Y727+Z727+AA727+AB727</f>
        <v>4000</v>
      </c>
      <c r="Y727" s="158"/>
      <c r="Z727" s="158"/>
      <c r="AA727" s="158"/>
      <c r="AB727" s="158">
        <f>2000+2000</f>
        <v>4000</v>
      </c>
      <c r="AC727" s="3">
        <f>AD727+AE727+AF727+AG727</f>
        <v>2000</v>
      </c>
      <c r="AD727" s="158"/>
      <c r="AE727" s="158"/>
      <c r="AF727" s="158"/>
      <c r="AG727" s="158">
        <v>2000</v>
      </c>
      <c r="AH727" s="3">
        <f>AI727+AJ727+AK727+AL727</f>
        <v>2000</v>
      </c>
      <c r="AI727" s="158"/>
      <c r="AJ727" s="158"/>
      <c r="AK727" s="158"/>
      <c r="AL727" s="158">
        <v>2000</v>
      </c>
      <c r="AM727" s="3">
        <f>AN727+AO727+AP727+AQ727</f>
        <v>2000</v>
      </c>
      <c r="AN727" s="158"/>
      <c r="AO727" s="158"/>
      <c r="AP727" s="158"/>
      <c r="AQ727" s="158">
        <v>2000</v>
      </c>
    </row>
    <row r="728" spans="1:43" ht="35.450000000000003" customHeight="1" thickBot="1">
      <c r="A728" s="72" t="s">
        <v>269</v>
      </c>
      <c r="B728" s="80"/>
      <c r="C728" s="64"/>
      <c r="D728" s="64"/>
      <c r="E728" s="64"/>
      <c r="F728" s="64"/>
      <c r="G728" s="64"/>
      <c r="H728" s="4"/>
      <c r="I728" s="207"/>
      <c r="J728" s="64"/>
      <c r="K728" s="208"/>
      <c r="L728" s="3"/>
      <c r="M728" s="393"/>
      <c r="N728" s="3">
        <f t="shared" si="186"/>
        <v>579.79999999999995</v>
      </c>
      <c r="O728" s="3">
        <f t="shared" si="186"/>
        <v>579.79999999999995</v>
      </c>
      <c r="P728" s="3"/>
      <c r="Q728" s="3"/>
      <c r="R728" s="3">
        <v>579.79999999999995</v>
      </c>
      <c r="S728" s="3">
        <v>579.79999999999995</v>
      </c>
      <c r="T728" s="3"/>
      <c r="U728" s="3"/>
      <c r="V728" s="3"/>
      <c r="W728" s="3"/>
      <c r="X728" s="3"/>
      <c r="Y728" s="3"/>
      <c r="Z728" s="3"/>
      <c r="AA728" s="3"/>
      <c r="AB728" s="3"/>
      <c r="AC728" s="3"/>
      <c r="AD728" s="3"/>
      <c r="AE728" s="3"/>
      <c r="AF728" s="3"/>
      <c r="AG728" s="3"/>
      <c r="AH728" s="5"/>
      <c r="AI728" s="3"/>
      <c r="AJ728" s="3"/>
      <c r="AK728" s="3"/>
      <c r="AL728" s="3"/>
      <c r="AM728" s="5"/>
      <c r="AN728" s="3"/>
      <c r="AO728" s="3"/>
      <c r="AP728" s="3"/>
      <c r="AQ728" s="3"/>
    </row>
    <row r="729" spans="1:43" ht="35.450000000000003" customHeight="1" thickBot="1">
      <c r="A729" s="72" t="s">
        <v>269</v>
      </c>
      <c r="B729" s="80"/>
      <c r="C729" s="64" t="s">
        <v>287</v>
      </c>
      <c r="D729" s="64"/>
      <c r="E729" s="64" t="s">
        <v>288</v>
      </c>
      <c r="F729" s="64" t="s">
        <v>484</v>
      </c>
      <c r="G729" s="64" t="s">
        <v>323</v>
      </c>
      <c r="H729" s="4"/>
      <c r="I729" s="207"/>
      <c r="J729" s="64"/>
      <c r="K729" s="208"/>
      <c r="L729" s="3"/>
      <c r="M729" s="87" t="s">
        <v>981</v>
      </c>
      <c r="N729" s="3">
        <f>P729+R729+T729+V729</f>
        <v>142.6</v>
      </c>
      <c r="O729" s="3">
        <f t="shared" si="186"/>
        <v>142.6</v>
      </c>
      <c r="P729" s="3"/>
      <c r="Q729" s="3"/>
      <c r="R729" s="3">
        <v>142.6</v>
      </c>
      <c r="S729" s="3">
        <v>142.6</v>
      </c>
      <c r="T729" s="3"/>
      <c r="U729" s="3"/>
      <c r="V729" s="3"/>
      <c r="W729" s="3"/>
      <c r="X729" s="3">
        <f>Y729+Z729+AB729</f>
        <v>1130.7</v>
      </c>
      <c r="Y729" s="3"/>
      <c r="Z729" s="3">
        <f>319.8+810.9</f>
        <v>1130.7</v>
      </c>
      <c r="AA729" s="3"/>
      <c r="AB729" s="3"/>
      <c r="AC729" s="3">
        <f>AD729+AE729+AG729</f>
        <v>319.8</v>
      </c>
      <c r="AD729" s="3"/>
      <c r="AE729" s="3">
        <v>319.8</v>
      </c>
      <c r="AF729" s="3"/>
      <c r="AG729" s="3"/>
      <c r="AH729" s="5">
        <f>AI729+AJ729+AL729</f>
        <v>319.8</v>
      </c>
      <c r="AI729" s="3"/>
      <c r="AJ729" s="3">
        <v>319.8</v>
      </c>
      <c r="AK729" s="3"/>
      <c r="AL729" s="3"/>
      <c r="AM729" s="5">
        <f>AN729+AO729+AQ729</f>
        <v>319.8</v>
      </c>
      <c r="AN729" s="3"/>
      <c r="AO729" s="3">
        <v>319.8</v>
      </c>
      <c r="AP729" s="3"/>
      <c r="AQ729" s="3"/>
    </row>
    <row r="730" spans="1:43" ht="35.450000000000003" customHeight="1" thickBot="1">
      <c r="A730" s="72" t="s">
        <v>310</v>
      </c>
      <c r="B730" s="80"/>
      <c r="C730" s="64"/>
      <c r="D730" s="64"/>
      <c r="E730" s="64"/>
      <c r="F730" s="208" t="s">
        <v>982</v>
      </c>
      <c r="G730" s="64"/>
      <c r="H730" s="208"/>
      <c r="I730" s="228"/>
      <c r="J730" s="64"/>
      <c r="K730" s="208"/>
      <c r="L730" s="3"/>
      <c r="M730" s="87" t="s">
        <v>983</v>
      </c>
      <c r="N730" s="3">
        <f>P730+R730+T730+V730</f>
        <v>556.79999999999995</v>
      </c>
      <c r="O730" s="3">
        <f t="shared" si="186"/>
        <v>556.79999999999995</v>
      </c>
      <c r="P730" s="3"/>
      <c r="Q730" s="3"/>
      <c r="R730" s="3">
        <f>82.4+93.2+373.4+7.8</f>
        <v>556.79999999999995</v>
      </c>
      <c r="S730" s="3">
        <v>556.79999999999995</v>
      </c>
      <c r="T730" s="3"/>
      <c r="U730" s="3"/>
      <c r="V730" s="3"/>
      <c r="W730" s="3"/>
      <c r="X730" s="3">
        <f>Y730+Z730+AB730</f>
        <v>286.8</v>
      </c>
      <c r="Y730" s="3"/>
      <c r="Z730" s="3">
        <f>72+214.8</f>
        <v>286.8</v>
      </c>
      <c r="AA730" s="3"/>
      <c r="AB730" s="3"/>
      <c r="AC730" s="3">
        <f>AD730+AE730+AG730</f>
        <v>72</v>
      </c>
      <c r="AD730" s="3"/>
      <c r="AE730" s="3">
        <v>72</v>
      </c>
      <c r="AF730" s="3"/>
      <c r="AG730" s="3"/>
      <c r="AH730" s="5">
        <f>AI730+AJ730+AL730</f>
        <v>72</v>
      </c>
      <c r="AI730" s="3"/>
      <c r="AJ730" s="3">
        <v>72</v>
      </c>
      <c r="AK730" s="3"/>
      <c r="AL730" s="3"/>
      <c r="AM730" s="5">
        <f>AN730+AO730+AQ730</f>
        <v>72</v>
      </c>
      <c r="AN730" s="3"/>
      <c r="AO730" s="3">
        <v>72</v>
      </c>
      <c r="AP730" s="3"/>
      <c r="AQ730" s="3"/>
    </row>
    <row r="731" spans="1:43" ht="35.450000000000003" customHeight="1" thickBot="1">
      <c r="A731" s="72" t="s">
        <v>310</v>
      </c>
      <c r="B731" s="80"/>
      <c r="C731" s="64"/>
      <c r="D731" s="64"/>
      <c r="E731" s="64"/>
      <c r="F731" s="91"/>
      <c r="G731" s="226"/>
      <c r="H731" s="226"/>
      <c r="I731" s="228"/>
      <c r="J731" s="64"/>
      <c r="K731" s="208"/>
      <c r="L731" s="3"/>
      <c r="M731" s="87" t="s">
        <v>984</v>
      </c>
      <c r="N731" s="3">
        <f>P731+R731+T731+V731</f>
        <v>102.1</v>
      </c>
      <c r="O731" s="3">
        <f t="shared" si="186"/>
        <v>102.1</v>
      </c>
      <c r="P731" s="3"/>
      <c r="Q731" s="3"/>
      <c r="R731" s="3">
        <f>27.2+19.8+72.1-17</f>
        <v>102.1</v>
      </c>
      <c r="S731" s="3">
        <v>102.1</v>
      </c>
      <c r="T731" s="3"/>
      <c r="U731" s="3"/>
      <c r="V731" s="3"/>
      <c r="W731" s="3"/>
      <c r="X731" s="3">
        <f>Y731+Z731+AB731</f>
        <v>1086.0999999999999</v>
      </c>
      <c r="Y731" s="3"/>
      <c r="Z731" s="3">
        <f>398.3+687.8</f>
        <v>1086.0999999999999</v>
      </c>
      <c r="AA731" s="3"/>
      <c r="AB731" s="3"/>
      <c r="AC731" s="3">
        <f>AD731+AE731+AG731</f>
        <v>398.3</v>
      </c>
      <c r="AD731" s="3"/>
      <c r="AE731" s="3">
        <v>398.3</v>
      </c>
      <c r="AF731" s="3"/>
      <c r="AG731" s="3"/>
      <c r="AH731" s="5">
        <f>AI731+AJ731+AL731</f>
        <v>398.3</v>
      </c>
      <c r="AI731" s="3"/>
      <c r="AJ731" s="3">
        <v>398.3</v>
      </c>
      <c r="AK731" s="3"/>
      <c r="AL731" s="3"/>
      <c r="AM731" s="5">
        <f>AN731+AO731+AQ731</f>
        <v>398.3</v>
      </c>
      <c r="AN731" s="3"/>
      <c r="AO731" s="3">
        <v>398.3</v>
      </c>
      <c r="AP731" s="3"/>
      <c r="AQ731" s="3"/>
    </row>
    <row r="732" spans="1:43" ht="35.450000000000003" customHeight="1" thickBot="1">
      <c r="A732" s="72" t="s">
        <v>310</v>
      </c>
      <c r="B732" s="80"/>
      <c r="C732" s="64"/>
      <c r="D732" s="64"/>
      <c r="E732" s="64"/>
      <c r="F732" s="91"/>
      <c r="G732" s="226"/>
      <c r="H732" s="226"/>
      <c r="I732" s="228"/>
      <c r="J732" s="64"/>
      <c r="K732" s="208"/>
      <c r="L732" s="3"/>
      <c r="M732" s="87" t="s">
        <v>985</v>
      </c>
      <c r="N732" s="3"/>
      <c r="O732" s="3"/>
      <c r="P732" s="3"/>
      <c r="Q732" s="3"/>
      <c r="R732" s="3"/>
      <c r="S732" s="3"/>
      <c r="T732" s="3"/>
      <c r="U732" s="3"/>
      <c r="V732" s="3"/>
      <c r="W732" s="3"/>
      <c r="X732" s="3">
        <f>Y732+Z732+AB732</f>
        <v>143.30000000000001</v>
      </c>
      <c r="Y732" s="3"/>
      <c r="Z732" s="3">
        <f>76.9+66.4</f>
        <v>143.30000000000001</v>
      </c>
      <c r="AA732" s="3"/>
      <c r="AB732" s="3"/>
      <c r="AC732" s="3">
        <f>AD732+AE732+AG732</f>
        <v>76.900000000000006</v>
      </c>
      <c r="AD732" s="3"/>
      <c r="AE732" s="3">
        <v>76.900000000000006</v>
      </c>
      <c r="AF732" s="3"/>
      <c r="AG732" s="3"/>
      <c r="AH732" s="5">
        <f>AI732+AJ732+AL732</f>
        <v>76.900000000000006</v>
      </c>
      <c r="AI732" s="3"/>
      <c r="AJ732" s="3">
        <v>76.900000000000006</v>
      </c>
      <c r="AK732" s="3"/>
      <c r="AL732" s="3"/>
      <c r="AM732" s="5">
        <f>AN732+AO732+AQ732</f>
        <v>76.900000000000006</v>
      </c>
      <c r="AN732" s="3"/>
      <c r="AO732" s="3">
        <v>76.900000000000006</v>
      </c>
      <c r="AP732" s="3"/>
      <c r="AQ732" s="3"/>
    </row>
    <row r="733" spans="1:43" ht="35.450000000000003" customHeight="1">
      <c r="A733" s="389"/>
      <c r="B733" s="390"/>
      <c r="C733" s="391"/>
      <c r="D733" s="391"/>
      <c r="E733" s="391"/>
      <c r="F733" s="392"/>
      <c r="G733" s="392"/>
      <c r="H733" s="392"/>
      <c r="I733" s="393"/>
      <c r="J733" s="394"/>
      <c r="K733" s="126"/>
      <c r="L733" s="5"/>
      <c r="M733" s="87" t="s">
        <v>986</v>
      </c>
      <c r="N733" s="5"/>
      <c r="O733" s="5"/>
      <c r="P733" s="5"/>
      <c r="Q733" s="5"/>
      <c r="R733" s="5"/>
      <c r="S733" s="5"/>
      <c r="T733" s="5"/>
      <c r="U733" s="5"/>
      <c r="V733" s="5"/>
      <c r="W733" s="5"/>
      <c r="X733" s="3">
        <f>Y733+Z733+AB733</f>
        <v>196</v>
      </c>
      <c r="Y733" s="5"/>
      <c r="Z733" s="5">
        <v>196</v>
      </c>
      <c r="AA733" s="5"/>
      <c r="AB733" s="5"/>
      <c r="AC733" s="3">
        <f>AD733+AE733+AG733</f>
        <v>0</v>
      </c>
      <c r="AD733" s="5"/>
      <c r="AE733" s="5"/>
      <c r="AF733" s="5"/>
      <c r="AG733" s="5"/>
      <c r="AH733" s="5"/>
      <c r="AI733" s="5"/>
      <c r="AJ733" s="5"/>
      <c r="AK733" s="5"/>
      <c r="AL733" s="5"/>
      <c r="AM733" s="5"/>
      <c r="AN733" s="5"/>
      <c r="AO733" s="5"/>
      <c r="AP733" s="5"/>
      <c r="AQ733" s="5"/>
    </row>
    <row r="734" spans="1:43" ht="35.450000000000003" customHeight="1">
      <c r="A734" s="293" t="s">
        <v>987</v>
      </c>
      <c r="B734" s="385">
        <v>2700</v>
      </c>
      <c r="C734" s="66" t="s">
        <v>8</v>
      </c>
      <c r="D734" s="66" t="s">
        <v>8</v>
      </c>
      <c r="E734" s="66" t="s">
        <v>8</v>
      </c>
      <c r="F734" s="66"/>
      <c r="G734" s="66"/>
      <c r="H734" s="66"/>
      <c r="I734" s="397" t="s">
        <v>8</v>
      </c>
      <c r="J734" s="66" t="s">
        <v>8</v>
      </c>
      <c r="K734" s="66" t="s">
        <v>8</v>
      </c>
      <c r="L734" s="66" t="s">
        <v>8</v>
      </c>
      <c r="M734" s="244"/>
      <c r="N734" s="126">
        <f t="shared" ref="N734:X734" si="187">N735+N747</f>
        <v>464.3</v>
      </c>
      <c r="O734" s="126">
        <f t="shared" si="187"/>
        <v>407.3</v>
      </c>
      <c r="P734" s="126">
        <f t="shared" si="187"/>
        <v>0</v>
      </c>
      <c r="Q734" s="126">
        <f t="shared" si="187"/>
        <v>0</v>
      </c>
      <c r="R734" s="126">
        <f t="shared" si="187"/>
        <v>0</v>
      </c>
      <c r="S734" s="126">
        <f t="shared" si="187"/>
        <v>0</v>
      </c>
      <c r="T734" s="126">
        <f t="shared" si="187"/>
        <v>0</v>
      </c>
      <c r="U734" s="126">
        <f t="shared" si="187"/>
        <v>0</v>
      </c>
      <c r="V734" s="126">
        <f t="shared" si="187"/>
        <v>464.3</v>
      </c>
      <c r="W734" s="126">
        <f t="shared" si="187"/>
        <v>407.3</v>
      </c>
      <c r="X734" s="126">
        <f t="shared" si="187"/>
        <v>998.1</v>
      </c>
      <c r="Y734" s="126">
        <f t="shared" ref="Y734:AQ734" si="188">Y735+Y747+Y739</f>
        <v>0</v>
      </c>
      <c r="Z734" s="126">
        <f t="shared" si="188"/>
        <v>464.2</v>
      </c>
      <c r="AA734" s="126">
        <f t="shared" si="188"/>
        <v>0</v>
      </c>
      <c r="AB734" s="126">
        <f t="shared" si="188"/>
        <v>533.90000000000009</v>
      </c>
      <c r="AC734" s="126">
        <f t="shared" si="188"/>
        <v>114.2</v>
      </c>
      <c r="AD734" s="126">
        <f t="shared" si="188"/>
        <v>0</v>
      </c>
      <c r="AE734" s="126">
        <f t="shared" si="188"/>
        <v>0</v>
      </c>
      <c r="AF734" s="126">
        <f t="shared" si="188"/>
        <v>0</v>
      </c>
      <c r="AG734" s="126">
        <f t="shared" si="188"/>
        <v>114.2</v>
      </c>
      <c r="AH734" s="126">
        <f t="shared" si="188"/>
        <v>114.2</v>
      </c>
      <c r="AI734" s="126">
        <f t="shared" si="188"/>
        <v>0</v>
      </c>
      <c r="AJ734" s="126">
        <f t="shared" si="188"/>
        <v>0</v>
      </c>
      <c r="AK734" s="126">
        <f t="shared" si="188"/>
        <v>0</v>
      </c>
      <c r="AL734" s="126">
        <f t="shared" si="188"/>
        <v>114.2</v>
      </c>
      <c r="AM734" s="126">
        <f t="shared" si="188"/>
        <v>114.2</v>
      </c>
      <c r="AN734" s="126">
        <f t="shared" si="188"/>
        <v>0</v>
      </c>
      <c r="AO734" s="126">
        <f t="shared" si="188"/>
        <v>0</v>
      </c>
      <c r="AP734" s="126">
        <f t="shared" si="188"/>
        <v>0</v>
      </c>
      <c r="AQ734" s="126">
        <f t="shared" si="188"/>
        <v>114.2</v>
      </c>
    </row>
    <row r="735" spans="1:43" ht="35.450000000000003" customHeight="1">
      <c r="A735" s="293" t="s">
        <v>988</v>
      </c>
      <c r="B735" s="385">
        <v>2701</v>
      </c>
      <c r="C735" s="66" t="s">
        <v>8</v>
      </c>
      <c r="D735" s="66" t="s">
        <v>8</v>
      </c>
      <c r="E735" s="66" t="s">
        <v>8</v>
      </c>
      <c r="F735" s="66"/>
      <c r="G735" s="66"/>
      <c r="H735" s="66"/>
      <c r="I735" s="397" t="s">
        <v>8</v>
      </c>
      <c r="J735" s="66" t="s">
        <v>8</v>
      </c>
      <c r="K735" s="66" t="s">
        <v>8</v>
      </c>
      <c r="L735" s="66" t="s">
        <v>8</v>
      </c>
      <c r="M735" s="66" t="s">
        <v>8</v>
      </c>
      <c r="N735" s="5"/>
      <c r="O735" s="5"/>
      <c r="P735" s="5"/>
      <c r="Q735" s="5"/>
      <c r="R735" s="5"/>
      <c r="S735" s="5"/>
      <c r="T735" s="5"/>
      <c r="U735" s="5"/>
      <c r="V735" s="5"/>
      <c r="W735" s="5"/>
      <c r="X735" s="5">
        <f>X739</f>
        <v>468.9</v>
      </c>
      <c r="Y735" s="5"/>
      <c r="Z735" s="5"/>
      <c r="AA735" s="5"/>
      <c r="AB735" s="5"/>
      <c r="AC735" s="5"/>
      <c r="AD735" s="5"/>
      <c r="AE735" s="5"/>
      <c r="AF735" s="5"/>
      <c r="AG735" s="5"/>
      <c r="AH735" s="5"/>
      <c r="AI735" s="5"/>
      <c r="AJ735" s="5"/>
      <c r="AK735" s="5"/>
      <c r="AL735" s="5"/>
      <c r="AM735" s="5"/>
      <c r="AN735" s="5"/>
      <c r="AO735" s="5"/>
      <c r="AP735" s="5"/>
      <c r="AQ735" s="5"/>
    </row>
    <row r="736" spans="1:43" ht="35.450000000000003" customHeight="1">
      <c r="A736" s="326" t="s">
        <v>10</v>
      </c>
      <c r="B736" s="398">
        <v>2702</v>
      </c>
      <c r="C736" s="71"/>
      <c r="D736" s="3"/>
      <c r="E736" s="3"/>
      <c r="F736" s="3"/>
      <c r="G736" s="3"/>
      <c r="H736" s="3"/>
      <c r="I736" s="399"/>
      <c r="J736" s="3"/>
      <c r="K736" s="3"/>
      <c r="L736" s="3"/>
      <c r="M736" s="66" t="s">
        <v>8</v>
      </c>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row>
    <row r="737" spans="1:43" ht="35.450000000000003" customHeight="1">
      <c r="A737" s="200" t="s">
        <v>989</v>
      </c>
      <c r="B737" s="400">
        <v>2714</v>
      </c>
      <c r="C737" s="78"/>
      <c r="D737" s="5"/>
      <c r="E737" s="5"/>
      <c r="F737" s="5"/>
      <c r="G737" s="5"/>
      <c r="H737" s="5"/>
      <c r="I737" s="386"/>
      <c r="J737" s="5"/>
      <c r="K737" s="5"/>
      <c r="L737" s="5">
        <v>24</v>
      </c>
      <c r="M737" s="3"/>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row>
    <row r="738" spans="1:43" ht="35.450000000000003" customHeight="1">
      <c r="A738" s="200" t="s">
        <v>990</v>
      </c>
      <c r="B738" s="398"/>
      <c r="C738" s="71"/>
      <c r="D738" s="3"/>
      <c r="E738" s="3"/>
      <c r="F738" s="3"/>
      <c r="G738" s="3"/>
      <c r="H738" s="3"/>
      <c r="I738" s="399"/>
      <c r="J738" s="3"/>
      <c r="K738" s="3"/>
      <c r="L738" s="3"/>
      <c r="M738" s="244"/>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row>
    <row r="739" spans="1:43" ht="35.450000000000003" customHeight="1">
      <c r="A739" s="200" t="s">
        <v>991</v>
      </c>
      <c r="B739" s="401">
        <v>2716</v>
      </c>
      <c r="C739" s="78"/>
      <c r="D739" s="5"/>
      <c r="E739" s="5"/>
      <c r="F739" s="5"/>
      <c r="G739" s="5"/>
      <c r="H739" s="5"/>
      <c r="I739" s="386"/>
      <c r="J739" s="5"/>
      <c r="K739" s="5"/>
      <c r="L739" s="5">
        <v>24</v>
      </c>
      <c r="M739" s="87"/>
      <c r="N739" s="5">
        <f t="shared" ref="N739:V739" si="189">N741</f>
        <v>0</v>
      </c>
      <c r="O739" s="5"/>
      <c r="P739" s="5">
        <f t="shared" si="189"/>
        <v>0</v>
      </c>
      <c r="Q739" s="5"/>
      <c r="R739" s="5">
        <f t="shared" si="189"/>
        <v>0</v>
      </c>
      <c r="S739" s="5"/>
      <c r="T739" s="5">
        <f t="shared" si="189"/>
        <v>0</v>
      </c>
      <c r="U739" s="5"/>
      <c r="V739" s="5">
        <f t="shared" si="189"/>
        <v>0</v>
      </c>
      <c r="W739" s="5"/>
      <c r="X739" s="5">
        <f>X741+X742+X743</f>
        <v>468.9</v>
      </c>
      <c r="Y739" s="5">
        <f t="shared" ref="Y739:AQ739" si="190">Y741+Y742+Y743</f>
        <v>0</v>
      </c>
      <c r="Z739" s="5">
        <f t="shared" si="190"/>
        <v>464.2</v>
      </c>
      <c r="AA739" s="5">
        <f t="shared" si="190"/>
        <v>0</v>
      </c>
      <c r="AB739" s="5">
        <f t="shared" si="190"/>
        <v>4.7</v>
      </c>
      <c r="AC739" s="5">
        <f t="shared" si="190"/>
        <v>0</v>
      </c>
      <c r="AD739" s="5">
        <f t="shared" si="190"/>
        <v>0</v>
      </c>
      <c r="AE739" s="5">
        <f t="shared" si="190"/>
        <v>0</v>
      </c>
      <c r="AF739" s="5">
        <f t="shared" si="190"/>
        <v>0</v>
      </c>
      <c r="AG739" s="5">
        <f t="shared" si="190"/>
        <v>0</v>
      </c>
      <c r="AH739" s="5">
        <f t="shared" si="190"/>
        <v>0</v>
      </c>
      <c r="AI739" s="5">
        <f t="shared" si="190"/>
        <v>0</v>
      </c>
      <c r="AJ739" s="5">
        <f t="shared" si="190"/>
        <v>0</v>
      </c>
      <c r="AK739" s="5">
        <f t="shared" si="190"/>
        <v>0</v>
      </c>
      <c r="AL739" s="5">
        <f t="shared" si="190"/>
        <v>0</v>
      </c>
      <c r="AM739" s="5">
        <f t="shared" si="190"/>
        <v>0</v>
      </c>
      <c r="AN739" s="5">
        <f t="shared" si="190"/>
        <v>0</v>
      </c>
      <c r="AO739" s="5">
        <f t="shared" si="190"/>
        <v>0</v>
      </c>
      <c r="AP739" s="5">
        <f t="shared" si="190"/>
        <v>0</v>
      </c>
      <c r="AQ739" s="5">
        <f t="shared" si="190"/>
        <v>0</v>
      </c>
    </row>
    <row r="740" spans="1:43" ht="35.450000000000003" customHeight="1">
      <c r="A740" s="200"/>
      <c r="B740" s="397"/>
      <c r="C740" s="78"/>
      <c r="D740" s="145"/>
      <c r="E740" s="145"/>
      <c r="F740" s="145"/>
      <c r="G740" s="145"/>
      <c r="H740" s="145"/>
      <c r="I740" s="402"/>
      <c r="J740" s="145"/>
      <c r="K740" s="5"/>
      <c r="L740" s="5"/>
      <c r="M740" s="87"/>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row>
    <row r="741" spans="1:43" ht="35.450000000000003" customHeight="1">
      <c r="A741" s="146" t="s">
        <v>564</v>
      </c>
      <c r="B741" s="318"/>
      <c r="C741" s="233" t="s">
        <v>629</v>
      </c>
      <c r="D741" s="233" t="s">
        <v>489</v>
      </c>
      <c r="E741" s="233" t="s">
        <v>630</v>
      </c>
      <c r="F741" s="64" t="s">
        <v>1283</v>
      </c>
      <c r="G741" s="64" t="s">
        <v>277</v>
      </c>
      <c r="H741" s="403">
        <v>45742</v>
      </c>
      <c r="I741" s="233" t="s">
        <v>1255</v>
      </c>
      <c r="J741" s="64" t="s">
        <v>277</v>
      </c>
      <c r="K741" s="3"/>
      <c r="L741" s="3"/>
      <c r="M741" s="87" t="s">
        <v>992</v>
      </c>
      <c r="N741" s="3">
        <f>P741+R741+T741+V741</f>
        <v>0</v>
      </c>
      <c r="O741" s="3"/>
      <c r="P741" s="3"/>
      <c r="Q741" s="3"/>
      <c r="R741" s="3"/>
      <c r="S741" s="3"/>
      <c r="T741" s="3"/>
      <c r="U741" s="3"/>
      <c r="V741" s="3"/>
      <c r="W741" s="3"/>
      <c r="X741" s="3">
        <f>Y741+Z741+AA741+AB741</f>
        <v>468.9</v>
      </c>
      <c r="Y741" s="3"/>
      <c r="Z741" s="3">
        <v>464.2</v>
      </c>
      <c r="AA741" s="3"/>
      <c r="AB741" s="3">
        <v>4.7</v>
      </c>
      <c r="AC741" s="3">
        <f>AD741+AE741+AF741+AG741</f>
        <v>0</v>
      </c>
      <c r="AD741" s="3"/>
      <c r="AE741" s="3"/>
      <c r="AF741" s="3"/>
      <c r="AG741" s="3"/>
      <c r="AH741" s="3">
        <f>AI741+AJ741+AK741+AL741</f>
        <v>0</v>
      </c>
      <c r="AI741" s="3"/>
      <c r="AJ741" s="3"/>
      <c r="AK741" s="3"/>
      <c r="AL741" s="3"/>
      <c r="AM741" s="3">
        <f>AN741+AO741+AP741+AQ741</f>
        <v>0</v>
      </c>
      <c r="AN741" s="3"/>
      <c r="AO741" s="3"/>
      <c r="AP741" s="3"/>
      <c r="AQ741" s="3"/>
    </row>
    <row r="742" spans="1:43" ht="35.450000000000003" customHeight="1">
      <c r="A742" s="146" t="s">
        <v>564</v>
      </c>
      <c r="B742" s="318"/>
      <c r="C742" s="64"/>
      <c r="D742" s="64"/>
      <c r="E742" s="64"/>
      <c r="F742" s="154"/>
      <c r="G742" s="135"/>
      <c r="H742" s="135"/>
      <c r="I742" s="64"/>
      <c r="J742" s="64"/>
      <c r="K742" s="3"/>
      <c r="L742" s="3"/>
      <c r="M742" s="87" t="s">
        <v>992</v>
      </c>
      <c r="N742" s="3"/>
      <c r="O742" s="3"/>
      <c r="P742" s="3"/>
      <c r="Q742" s="3"/>
      <c r="R742" s="3"/>
      <c r="S742" s="3"/>
      <c r="T742" s="3"/>
      <c r="U742" s="3"/>
      <c r="V742" s="3"/>
      <c r="W742" s="3"/>
      <c r="X742" s="3">
        <f>Y742+Z742+AA742+AB742</f>
        <v>0</v>
      </c>
      <c r="Y742" s="3"/>
      <c r="Z742" s="3"/>
      <c r="AA742" s="3"/>
      <c r="AB742" s="3"/>
      <c r="AC742" s="3"/>
      <c r="AD742" s="3"/>
      <c r="AE742" s="3"/>
      <c r="AF742" s="3"/>
      <c r="AG742" s="3"/>
      <c r="AH742" s="3"/>
      <c r="AI742" s="3"/>
      <c r="AJ742" s="3"/>
      <c r="AK742" s="3"/>
      <c r="AL742" s="3"/>
      <c r="AM742" s="3"/>
      <c r="AN742" s="3"/>
      <c r="AO742" s="3"/>
      <c r="AP742" s="3"/>
      <c r="AQ742" s="3"/>
    </row>
    <row r="743" spans="1:43" ht="35.450000000000003" customHeight="1">
      <c r="A743" s="293" t="s">
        <v>993</v>
      </c>
      <c r="B743" s="318">
        <v>2800</v>
      </c>
      <c r="C743" s="75" t="s">
        <v>8</v>
      </c>
      <c r="D743" s="75" t="s">
        <v>8</v>
      </c>
      <c r="E743" s="75" t="s">
        <v>8</v>
      </c>
      <c r="F743" s="75"/>
      <c r="G743" s="75"/>
      <c r="H743" s="75"/>
      <c r="I743" s="404" t="s">
        <v>8</v>
      </c>
      <c r="J743" s="75" t="s">
        <v>8</v>
      </c>
      <c r="K743" s="75" t="s">
        <v>8</v>
      </c>
      <c r="L743" s="75" t="s">
        <v>8</v>
      </c>
      <c r="M743" s="5"/>
      <c r="N743" s="3"/>
      <c r="O743" s="3"/>
      <c r="P743" s="3"/>
      <c r="Q743" s="3"/>
      <c r="R743" s="3"/>
      <c r="S743" s="3"/>
      <c r="T743" s="3"/>
      <c r="U743" s="3"/>
      <c r="V743" s="3"/>
      <c r="W743" s="3"/>
      <c r="X743" s="3">
        <f>Y743+Z743+AA743+AB743</f>
        <v>0</v>
      </c>
      <c r="Y743" s="3"/>
      <c r="Z743" s="3"/>
      <c r="AA743" s="3"/>
      <c r="AB743" s="3"/>
      <c r="AC743" s="3"/>
      <c r="AD743" s="3"/>
      <c r="AE743" s="3"/>
      <c r="AF743" s="3"/>
      <c r="AG743" s="3"/>
      <c r="AH743" s="3"/>
      <c r="AI743" s="3"/>
      <c r="AJ743" s="3"/>
      <c r="AK743" s="3"/>
      <c r="AL743" s="3"/>
      <c r="AM743" s="3"/>
      <c r="AN743" s="3"/>
      <c r="AO743" s="3"/>
      <c r="AP743" s="3"/>
      <c r="AQ743" s="3"/>
    </row>
    <row r="744" spans="1:43" ht="35.450000000000003" customHeight="1">
      <c r="A744" s="146"/>
      <c r="B744" s="405">
        <v>2801</v>
      </c>
      <c r="C744" s="78"/>
      <c r="D744" s="5"/>
      <c r="E744" s="5"/>
      <c r="F744" s="5"/>
      <c r="G744" s="5"/>
      <c r="H744" s="5"/>
      <c r="I744" s="386"/>
      <c r="J744" s="5"/>
      <c r="K744" s="5"/>
      <c r="L744" s="5"/>
      <c r="M744" s="75" t="s">
        <v>8</v>
      </c>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row>
    <row r="745" spans="1:43" ht="35.450000000000003" customHeight="1">
      <c r="A745" s="69" t="s">
        <v>10</v>
      </c>
      <c r="B745" s="7"/>
      <c r="C745" s="71"/>
      <c r="D745" s="3"/>
      <c r="E745" s="3"/>
      <c r="F745" s="3"/>
      <c r="G745" s="3"/>
      <c r="H745" s="3"/>
      <c r="I745" s="399"/>
      <c r="J745" s="3"/>
      <c r="K745" s="3"/>
      <c r="L745" s="3"/>
      <c r="M745" s="5"/>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row>
    <row r="746" spans="1:43" ht="35.450000000000003" customHeight="1">
      <c r="A746" s="406" t="s">
        <v>994</v>
      </c>
      <c r="B746" s="318">
        <v>2802</v>
      </c>
      <c r="C746" s="71"/>
      <c r="D746" s="3"/>
      <c r="E746" s="3"/>
      <c r="F746" s="3"/>
      <c r="G746" s="3"/>
      <c r="H746" s="3"/>
      <c r="I746" s="39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row>
    <row r="747" spans="1:43" ht="35.450000000000003" customHeight="1">
      <c r="A747" s="293" t="s">
        <v>995</v>
      </c>
      <c r="B747" s="385">
        <v>2900</v>
      </c>
      <c r="C747" s="66" t="s">
        <v>8</v>
      </c>
      <c r="D747" s="66" t="s">
        <v>8</v>
      </c>
      <c r="E747" s="66" t="s">
        <v>8</v>
      </c>
      <c r="F747" s="66"/>
      <c r="G747" s="66"/>
      <c r="H747" s="66"/>
      <c r="I747" s="397" t="s">
        <v>8</v>
      </c>
      <c r="J747" s="66" t="s">
        <v>8</v>
      </c>
      <c r="K747" s="66" t="s">
        <v>8</v>
      </c>
      <c r="L747" s="66" t="s">
        <v>8</v>
      </c>
      <c r="M747" s="3"/>
      <c r="N747" s="126">
        <f t="shared" ref="N747:AQ747" si="191">N749</f>
        <v>464.3</v>
      </c>
      <c r="O747" s="126">
        <f t="shared" si="191"/>
        <v>407.3</v>
      </c>
      <c r="P747" s="126">
        <f t="shared" si="191"/>
        <v>0</v>
      </c>
      <c r="Q747" s="126">
        <f t="shared" si="191"/>
        <v>0</v>
      </c>
      <c r="R747" s="126">
        <f t="shared" si="191"/>
        <v>0</v>
      </c>
      <c r="S747" s="126">
        <f t="shared" si="191"/>
        <v>0</v>
      </c>
      <c r="T747" s="126">
        <f t="shared" si="191"/>
        <v>0</v>
      </c>
      <c r="U747" s="126">
        <f t="shared" si="191"/>
        <v>0</v>
      </c>
      <c r="V747" s="126">
        <f t="shared" si="191"/>
        <v>464.3</v>
      </c>
      <c r="W747" s="126">
        <f t="shared" si="191"/>
        <v>407.3</v>
      </c>
      <c r="X747" s="126">
        <f t="shared" si="191"/>
        <v>529.20000000000005</v>
      </c>
      <c r="Y747" s="126">
        <f t="shared" si="191"/>
        <v>0</v>
      </c>
      <c r="Z747" s="126">
        <f t="shared" si="191"/>
        <v>0</v>
      </c>
      <c r="AA747" s="126">
        <f t="shared" si="191"/>
        <v>0</v>
      </c>
      <c r="AB747" s="126">
        <f t="shared" si="191"/>
        <v>529.20000000000005</v>
      </c>
      <c r="AC747" s="126">
        <f t="shared" si="191"/>
        <v>114.2</v>
      </c>
      <c r="AD747" s="126">
        <f t="shared" si="191"/>
        <v>0</v>
      </c>
      <c r="AE747" s="126">
        <f t="shared" si="191"/>
        <v>0</v>
      </c>
      <c r="AF747" s="126">
        <f t="shared" si="191"/>
        <v>0</v>
      </c>
      <c r="AG747" s="126">
        <f t="shared" si="191"/>
        <v>114.2</v>
      </c>
      <c r="AH747" s="126">
        <f t="shared" si="191"/>
        <v>114.2</v>
      </c>
      <c r="AI747" s="126">
        <f t="shared" si="191"/>
        <v>0</v>
      </c>
      <c r="AJ747" s="126">
        <f t="shared" si="191"/>
        <v>0</v>
      </c>
      <c r="AK747" s="126">
        <f t="shared" si="191"/>
        <v>0</v>
      </c>
      <c r="AL747" s="126">
        <f t="shared" si="191"/>
        <v>114.2</v>
      </c>
      <c r="AM747" s="126">
        <f t="shared" si="191"/>
        <v>114.2</v>
      </c>
      <c r="AN747" s="126">
        <f t="shared" si="191"/>
        <v>0</v>
      </c>
      <c r="AO747" s="126">
        <f t="shared" si="191"/>
        <v>0</v>
      </c>
      <c r="AP747" s="126">
        <f t="shared" si="191"/>
        <v>0</v>
      </c>
      <c r="AQ747" s="126">
        <f t="shared" si="191"/>
        <v>114.2</v>
      </c>
    </row>
    <row r="748" spans="1:43" ht="35.450000000000003" customHeight="1">
      <c r="A748" s="326" t="s">
        <v>10</v>
      </c>
      <c r="B748" s="318">
        <v>2901</v>
      </c>
      <c r="C748" s="71"/>
      <c r="D748" s="3"/>
      <c r="E748" s="3"/>
      <c r="F748" s="3"/>
      <c r="G748" s="3"/>
      <c r="H748" s="3"/>
      <c r="I748" s="399"/>
      <c r="J748" s="3"/>
      <c r="K748" s="3"/>
      <c r="L748" s="3"/>
      <c r="M748" s="66" t="s">
        <v>8</v>
      </c>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row>
    <row r="749" spans="1:43" ht="35.450000000000003" customHeight="1">
      <c r="A749" s="142" t="s">
        <v>996</v>
      </c>
      <c r="B749" s="405">
        <v>2902</v>
      </c>
      <c r="C749" s="144"/>
      <c r="D749" s="145"/>
      <c r="E749" s="145"/>
      <c r="F749" s="145"/>
      <c r="G749" s="145"/>
      <c r="H749" s="145"/>
      <c r="I749" s="402"/>
      <c r="J749" s="145"/>
      <c r="K749" s="145"/>
      <c r="L749" s="145">
        <v>24</v>
      </c>
      <c r="M749" s="3"/>
      <c r="N749" s="126">
        <f>N750+N752+N753+N754+N751+N755</f>
        <v>464.3</v>
      </c>
      <c r="O749" s="126">
        <f t="shared" ref="O749:AQ749" si="192">O750+O752+O753+O754+O751+O755</f>
        <v>407.3</v>
      </c>
      <c r="P749" s="126">
        <f t="shared" si="192"/>
        <v>0</v>
      </c>
      <c r="Q749" s="126">
        <f t="shared" si="192"/>
        <v>0</v>
      </c>
      <c r="R749" s="126">
        <f t="shared" si="192"/>
        <v>0</v>
      </c>
      <c r="S749" s="126">
        <f t="shared" si="192"/>
        <v>0</v>
      </c>
      <c r="T749" s="126">
        <f t="shared" si="192"/>
        <v>0</v>
      </c>
      <c r="U749" s="126">
        <f t="shared" si="192"/>
        <v>0</v>
      </c>
      <c r="V749" s="126">
        <f t="shared" si="192"/>
        <v>464.3</v>
      </c>
      <c r="W749" s="126">
        <f t="shared" si="192"/>
        <v>407.3</v>
      </c>
      <c r="X749" s="126">
        <f t="shared" si="192"/>
        <v>529.20000000000005</v>
      </c>
      <c r="Y749" s="126">
        <f t="shared" si="192"/>
        <v>0</v>
      </c>
      <c r="Z749" s="126">
        <f t="shared" si="192"/>
        <v>0</v>
      </c>
      <c r="AA749" s="126">
        <f t="shared" si="192"/>
        <v>0</v>
      </c>
      <c r="AB749" s="126">
        <f t="shared" si="192"/>
        <v>529.20000000000005</v>
      </c>
      <c r="AC749" s="126">
        <f t="shared" si="192"/>
        <v>114.2</v>
      </c>
      <c r="AD749" s="126">
        <f t="shared" si="192"/>
        <v>0</v>
      </c>
      <c r="AE749" s="126">
        <f t="shared" si="192"/>
        <v>0</v>
      </c>
      <c r="AF749" s="126">
        <f t="shared" si="192"/>
        <v>0</v>
      </c>
      <c r="AG749" s="126">
        <f t="shared" si="192"/>
        <v>114.2</v>
      </c>
      <c r="AH749" s="126">
        <f t="shared" si="192"/>
        <v>114.2</v>
      </c>
      <c r="AI749" s="126">
        <f t="shared" si="192"/>
        <v>0</v>
      </c>
      <c r="AJ749" s="126">
        <f t="shared" si="192"/>
        <v>0</v>
      </c>
      <c r="AK749" s="126">
        <f t="shared" si="192"/>
        <v>0</v>
      </c>
      <c r="AL749" s="126">
        <f t="shared" si="192"/>
        <v>114.2</v>
      </c>
      <c r="AM749" s="126">
        <f t="shared" si="192"/>
        <v>114.2</v>
      </c>
      <c r="AN749" s="126">
        <f t="shared" si="192"/>
        <v>0</v>
      </c>
      <c r="AO749" s="126">
        <f t="shared" si="192"/>
        <v>0</v>
      </c>
      <c r="AP749" s="126">
        <f t="shared" si="192"/>
        <v>0</v>
      </c>
      <c r="AQ749" s="126">
        <f t="shared" si="192"/>
        <v>114.2</v>
      </c>
    </row>
    <row r="750" spans="1:43" ht="35.450000000000003" customHeight="1">
      <c r="B750" s="75"/>
      <c r="C750" s="91"/>
      <c r="D750" s="71"/>
      <c r="E750" s="87"/>
      <c r="F750" s="87"/>
      <c r="G750" s="87"/>
      <c r="H750" s="87"/>
      <c r="I750" s="3"/>
      <c r="J750" s="3"/>
      <c r="K750" s="3"/>
      <c r="L750" s="3"/>
      <c r="M750" s="145"/>
      <c r="N750" s="3">
        <f t="shared" ref="N750:O755" si="193">P750+R750+T750+V750</f>
        <v>0</v>
      </c>
      <c r="O750" s="3">
        <f>Q750+S750+U750+W750</f>
        <v>0</v>
      </c>
      <c r="P750" s="3"/>
      <c r="Q750" s="3"/>
      <c r="R750" s="3"/>
      <c r="S750" s="3"/>
      <c r="T750" s="3"/>
      <c r="U750" s="3"/>
      <c r="V750" s="3">
        <v>0</v>
      </c>
      <c r="W750" s="3">
        <v>0</v>
      </c>
      <c r="X750" s="3">
        <f t="shared" ref="X750:X755" si="194">Y750+Z750+AA750+AB750</f>
        <v>0</v>
      </c>
      <c r="Y750" s="3"/>
      <c r="Z750" s="3"/>
      <c r="AA750" s="3"/>
      <c r="AB750" s="3"/>
      <c r="AC750" s="3">
        <f>AD750+AE750+AF750+AG750</f>
        <v>0</v>
      </c>
      <c r="AD750" s="3"/>
      <c r="AE750" s="3"/>
      <c r="AF750" s="3"/>
      <c r="AG750" s="3"/>
      <c r="AH750" s="3">
        <f>AI750+AJ750+AK750+AL750</f>
        <v>0</v>
      </c>
      <c r="AI750" s="3"/>
      <c r="AJ750" s="3"/>
      <c r="AK750" s="3"/>
      <c r="AL750" s="3"/>
      <c r="AM750" s="3">
        <f>AN750+AO750+AP750+AQ750</f>
        <v>0</v>
      </c>
      <c r="AN750" s="3"/>
      <c r="AO750" s="3"/>
      <c r="AP750" s="3"/>
      <c r="AQ750" s="3"/>
    </row>
    <row r="751" spans="1:43" ht="35.450000000000003" customHeight="1">
      <c r="A751" s="146" t="s">
        <v>997</v>
      </c>
      <c r="B751" s="75"/>
      <c r="C751" s="91"/>
      <c r="D751" s="71"/>
      <c r="E751" s="87"/>
      <c r="F751" s="87"/>
      <c r="G751" s="87"/>
      <c r="H751" s="87"/>
      <c r="I751" s="87" t="s">
        <v>998</v>
      </c>
      <c r="J751" s="3"/>
      <c r="K751" s="3"/>
      <c r="L751" s="3"/>
      <c r="M751" s="87" t="s">
        <v>999</v>
      </c>
      <c r="N751" s="3">
        <f t="shared" si="193"/>
        <v>40.200000000000003</v>
      </c>
      <c r="O751" s="3">
        <f t="shared" si="193"/>
        <v>0</v>
      </c>
      <c r="P751" s="3"/>
      <c r="Q751" s="3"/>
      <c r="R751" s="3"/>
      <c r="S751" s="3"/>
      <c r="T751" s="3"/>
      <c r="U751" s="3"/>
      <c r="V751" s="3">
        <v>40.200000000000003</v>
      </c>
      <c r="W751" s="3">
        <v>0</v>
      </c>
      <c r="X751" s="3">
        <f t="shared" si="194"/>
        <v>100</v>
      </c>
      <c r="Y751" s="3"/>
      <c r="Z751" s="3"/>
      <c r="AA751" s="3"/>
      <c r="AB751" s="3">
        <v>100</v>
      </c>
      <c r="AC751" s="3"/>
      <c r="AD751" s="3"/>
      <c r="AE751" s="3"/>
      <c r="AF751" s="3"/>
      <c r="AG751" s="3"/>
      <c r="AH751" s="3"/>
      <c r="AI751" s="3"/>
      <c r="AJ751" s="3"/>
      <c r="AK751" s="3"/>
      <c r="AL751" s="3"/>
      <c r="AM751" s="3"/>
      <c r="AN751" s="3"/>
      <c r="AO751" s="3"/>
      <c r="AP751" s="3"/>
      <c r="AQ751" s="3"/>
    </row>
    <row r="752" spans="1:43" ht="35.450000000000003" customHeight="1">
      <c r="A752" s="146" t="s">
        <v>1000</v>
      </c>
      <c r="B752" s="75"/>
      <c r="C752" s="91"/>
      <c r="D752" s="71"/>
      <c r="E752" s="87"/>
      <c r="F752" s="87"/>
      <c r="G752" s="87"/>
      <c r="H752" s="87"/>
      <c r="I752" s="195" t="s">
        <v>1001</v>
      </c>
      <c r="J752" s="3"/>
      <c r="K752" s="3"/>
      <c r="L752" s="3"/>
      <c r="M752" s="87" t="s">
        <v>1002</v>
      </c>
      <c r="N752" s="3">
        <f t="shared" si="193"/>
        <v>90</v>
      </c>
      <c r="O752" s="3">
        <f t="shared" si="193"/>
        <v>90</v>
      </c>
      <c r="P752" s="3"/>
      <c r="Q752" s="3"/>
      <c r="R752" s="3"/>
      <c r="S752" s="3"/>
      <c r="T752" s="3"/>
      <c r="U752" s="3"/>
      <c r="V752" s="3">
        <v>90</v>
      </c>
      <c r="W752" s="3">
        <v>90</v>
      </c>
      <c r="X752" s="3">
        <f t="shared" si="194"/>
        <v>90</v>
      </c>
      <c r="Y752" s="3"/>
      <c r="Z752" s="3"/>
      <c r="AA752" s="3"/>
      <c r="AB752" s="3">
        <v>90</v>
      </c>
      <c r="AC752" s="3">
        <f>AD752+AE752+AF752+AG752</f>
        <v>0</v>
      </c>
      <c r="AD752" s="3"/>
      <c r="AE752" s="3"/>
      <c r="AF752" s="3"/>
      <c r="AG752" s="3">
        <v>0</v>
      </c>
      <c r="AH752" s="3">
        <f>AI752+AJ752+AK752+AL752</f>
        <v>0</v>
      </c>
      <c r="AI752" s="3"/>
      <c r="AJ752" s="3"/>
      <c r="AK752" s="3"/>
      <c r="AL752" s="3">
        <v>0</v>
      </c>
      <c r="AM752" s="3">
        <f>AN752+AO752+AP752+AQ752</f>
        <v>0</v>
      </c>
      <c r="AN752" s="3"/>
      <c r="AO752" s="3"/>
      <c r="AP752" s="3"/>
      <c r="AQ752" s="3">
        <v>0</v>
      </c>
    </row>
    <row r="753" spans="1:43" ht="35.450000000000003" customHeight="1">
      <c r="A753" s="200" t="s">
        <v>1003</v>
      </c>
      <c r="B753" s="75"/>
      <c r="C753" s="71"/>
      <c r="D753" s="3"/>
      <c r="E753" s="3"/>
      <c r="F753" s="3"/>
      <c r="G753" s="3"/>
      <c r="H753" s="3"/>
      <c r="I753" s="87" t="s">
        <v>998</v>
      </c>
      <c r="J753" s="3"/>
      <c r="K753" s="3"/>
      <c r="L753" s="3"/>
      <c r="M753" s="87" t="s">
        <v>1004</v>
      </c>
      <c r="N753" s="3">
        <f t="shared" si="193"/>
        <v>114.1</v>
      </c>
      <c r="O753" s="3">
        <f t="shared" si="193"/>
        <v>97.3</v>
      </c>
      <c r="P753" s="3"/>
      <c r="Q753" s="3"/>
      <c r="R753" s="3"/>
      <c r="S753" s="3"/>
      <c r="T753" s="3"/>
      <c r="U753" s="3"/>
      <c r="V753" s="3">
        <v>114.1</v>
      </c>
      <c r="W753" s="3">
        <v>97.3</v>
      </c>
      <c r="X753" s="3">
        <f t="shared" si="194"/>
        <v>139.19999999999999</v>
      </c>
      <c r="Y753" s="3"/>
      <c r="Z753" s="3"/>
      <c r="AA753" s="3"/>
      <c r="AB753" s="3">
        <f>114.2+25</f>
        <v>139.19999999999999</v>
      </c>
      <c r="AC753" s="3">
        <f>AD753+AE753+AF753+AG753</f>
        <v>114.2</v>
      </c>
      <c r="AD753" s="3"/>
      <c r="AE753" s="3"/>
      <c r="AF753" s="3"/>
      <c r="AG753" s="3">
        <v>114.2</v>
      </c>
      <c r="AH753" s="3">
        <f>AI753+AJ753+AK753+AL753</f>
        <v>114.2</v>
      </c>
      <c r="AI753" s="3"/>
      <c r="AJ753" s="3"/>
      <c r="AK753" s="3"/>
      <c r="AL753" s="3">
        <v>114.2</v>
      </c>
      <c r="AM753" s="3">
        <f>AN753+AO753+AP753+AQ753</f>
        <v>114.2</v>
      </c>
      <c r="AN753" s="3"/>
      <c r="AO753" s="3"/>
      <c r="AP753" s="3"/>
      <c r="AQ753" s="3">
        <v>114.2</v>
      </c>
    </row>
    <row r="754" spans="1:43" ht="35.450000000000003" customHeight="1">
      <c r="A754" s="200" t="s">
        <v>1005</v>
      </c>
      <c r="B754" s="194"/>
      <c r="C754" s="124"/>
      <c r="D754" s="158"/>
      <c r="E754" s="158"/>
      <c r="F754" s="158"/>
      <c r="G754" s="158"/>
      <c r="H754" s="158"/>
      <c r="I754" s="87" t="s">
        <v>1006</v>
      </c>
      <c r="J754" s="158"/>
      <c r="K754" s="158"/>
      <c r="L754" s="158"/>
      <c r="M754" s="87" t="s">
        <v>1007</v>
      </c>
      <c r="N754" s="3">
        <f t="shared" si="193"/>
        <v>0</v>
      </c>
      <c r="O754" s="3">
        <f t="shared" si="193"/>
        <v>0</v>
      </c>
      <c r="P754" s="158"/>
      <c r="Q754" s="158"/>
      <c r="R754" s="158"/>
      <c r="S754" s="158"/>
      <c r="T754" s="158"/>
      <c r="U754" s="158"/>
      <c r="V754" s="158">
        <v>0</v>
      </c>
      <c r="W754" s="158">
        <v>0</v>
      </c>
      <c r="X754" s="3">
        <f t="shared" si="194"/>
        <v>0</v>
      </c>
      <c r="Y754" s="158"/>
      <c r="Z754" s="158"/>
      <c r="AA754" s="158"/>
      <c r="AB754" s="158"/>
      <c r="AC754" s="3">
        <f>AD754+AE754+AF754+AG754</f>
        <v>0</v>
      </c>
      <c r="AD754" s="158"/>
      <c r="AE754" s="158"/>
      <c r="AF754" s="158"/>
      <c r="AG754" s="158"/>
      <c r="AH754" s="3">
        <f>AI754+AJ754+AK754+AL754</f>
        <v>0</v>
      </c>
      <c r="AI754" s="158"/>
      <c r="AJ754" s="158"/>
      <c r="AK754" s="158"/>
      <c r="AL754" s="158"/>
      <c r="AM754" s="3">
        <f>AN754+AO754+AP754+AQ754</f>
        <v>0</v>
      </c>
      <c r="AN754" s="158"/>
      <c r="AO754" s="158"/>
      <c r="AP754" s="158"/>
      <c r="AQ754" s="158"/>
    </row>
    <row r="755" spans="1:43" ht="35.450000000000003" customHeight="1">
      <c r="A755" s="85" t="s">
        <v>1008</v>
      </c>
      <c r="B755" s="407"/>
      <c r="C755" s="132"/>
      <c r="D755" s="132"/>
      <c r="E755" s="132"/>
      <c r="F755" s="132"/>
      <c r="G755" s="132"/>
      <c r="H755" s="132"/>
      <c r="I755" s="87" t="s">
        <v>1009</v>
      </c>
      <c r="J755" s="132"/>
      <c r="K755" s="132"/>
      <c r="L755" s="132"/>
      <c r="M755" s="125" t="s">
        <v>1010</v>
      </c>
      <c r="N755" s="3">
        <f t="shared" si="193"/>
        <v>220</v>
      </c>
      <c r="O755" s="3">
        <f t="shared" si="193"/>
        <v>220</v>
      </c>
      <c r="P755" s="158"/>
      <c r="Q755" s="158"/>
      <c r="R755" s="158"/>
      <c r="S755" s="158"/>
      <c r="T755" s="158"/>
      <c r="U755" s="158"/>
      <c r="V755" s="158">
        <v>220</v>
      </c>
      <c r="W755" s="158">
        <v>220</v>
      </c>
      <c r="X755" s="3">
        <f t="shared" si="194"/>
        <v>200</v>
      </c>
      <c r="Y755" s="158"/>
      <c r="Z755" s="158"/>
      <c r="AA755" s="158"/>
      <c r="AB755" s="158">
        <f>100+100</f>
        <v>200</v>
      </c>
      <c r="AC755" s="3">
        <f>AD755+AE755+AF755+AG755</f>
        <v>0</v>
      </c>
      <c r="AD755" s="158"/>
      <c r="AE755" s="158"/>
      <c r="AF755" s="158"/>
      <c r="AG755" s="158"/>
      <c r="AH755" s="3">
        <f>AI755+AJ755+AK755+AL755</f>
        <v>0</v>
      </c>
      <c r="AI755" s="158"/>
      <c r="AJ755" s="158"/>
      <c r="AK755" s="158"/>
      <c r="AL755" s="158"/>
      <c r="AM755" s="3">
        <f>AN755+AO755+AP755+AQ755</f>
        <v>0</v>
      </c>
      <c r="AN755" s="158"/>
      <c r="AO755" s="158"/>
      <c r="AP755" s="158"/>
      <c r="AQ755" s="158"/>
    </row>
    <row r="756" spans="1:43" ht="35.450000000000003" customHeight="1">
      <c r="A756" s="396"/>
      <c r="B756" s="194">
        <v>3000</v>
      </c>
      <c r="C756" s="73" t="s">
        <v>8</v>
      </c>
      <c r="D756" s="73" t="s">
        <v>8</v>
      </c>
      <c r="E756" s="73" t="s">
        <v>8</v>
      </c>
      <c r="F756" s="73"/>
      <c r="G756" s="73"/>
      <c r="H756" s="73"/>
      <c r="I756" s="408" t="s">
        <v>8</v>
      </c>
      <c r="J756" s="73" t="s">
        <v>8</v>
      </c>
      <c r="K756" s="73" t="s">
        <v>8</v>
      </c>
      <c r="L756" s="73" t="s">
        <v>8</v>
      </c>
      <c r="M756" s="125"/>
      <c r="N756" s="158"/>
      <c r="O756" s="158"/>
      <c r="P756" s="158"/>
      <c r="Q756" s="158"/>
      <c r="R756" s="158"/>
      <c r="S756" s="158"/>
      <c r="T756" s="158"/>
      <c r="U756" s="158"/>
      <c r="V756" s="158"/>
      <c r="W756" s="158"/>
      <c r="X756" s="158"/>
      <c r="Y756" s="158"/>
      <c r="Z756" s="158"/>
      <c r="AA756" s="158"/>
      <c r="AB756" s="158"/>
      <c r="AC756" s="158"/>
      <c r="AD756" s="158"/>
      <c r="AE756" s="158"/>
      <c r="AF756" s="158"/>
      <c r="AG756" s="158"/>
      <c r="AH756" s="158"/>
      <c r="AI756" s="158"/>
      <c r="AJ756" s="158"/>
      <c r="AK756" s="158"/>
      <c r="AL756" s="158"/>
      <c r="AM756" s="158"/>
      <c r="AN756" s="158"/>
      <c r="AO756" s="158"/>
      <c r="AP756" s="158"/>
      <c r="AQ756" s="158"/>
    </row>
    <row r="757" spans="1:43" ht="35.450000000000003" customHeight="1">
      <c r="A757" s="409" t="s">
        <v>10</v>
      </c>
      <c r="B757" s="410">
        <v>3001</v>
      </c>
      <c r="C757" s="71"/>
      <c r="D757" s="3"/>
      <c r="E757" s="3"/>
      <c r="F757" s="3"/>
      <c r="G757" s="3"/>
      <c r="H757" s="3"/>
      <c r="I757" s="399"/>
      <c r="J757" s="3"/>
      <c r="K757" s="3"/>
      <c r="L757" s="3"/>
      <c r="M757" s="73" t="s">
        <v>8</v>
      </c>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row>
    <row r="758" spans="1:43" ht="35.450000000000003" customHeight="1">
      <c r="A758" s="406" t="s">
        <v>994</v>
      </c>
      <c r="B758" s="194"/>
      <c r="C758" s="71"/>
      <c r="D758" s="3"/>
      <c r="E758" s="3"/>
      <c r="F758" s="3"/>
      <c r="G758" s="3"/>
      <c r="H758" s="3"/>
      <c r="I758" s="39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row>
    <row r="759" spans="1:43" ht="35.450000000000003" customHeight="1">
      <c r="A759" s="317" t="s">
        <v>994</v>
      </c>
      <c r="B759" s="318">
        <v>3002</v>
      </c>
      <c r="C759" s="71"/>
      <c r="D759" s="3"/>
      <c r="E759" s="3"/>
      <c r="F759" s="3"/>
      <c r="G759" s="3"/>
      <c r="H759" s="3"/>
      <c r="I759" s="39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row>
    <row r="760" spans="1:43" ht="35.450000000000003" customHeight="1">
      <c r="A760" s="293" t="s">
        <v>1011</v>
      </c>
      <c r="B760" s="385">
        <v>3100</v>
      </c>
      <c r="C760" s="66" t="s">
        <v>8</v>
      </c>
      <c r="D760" s="66" t="s">
        <v>8</v>
      </c>
      <c r="E760" s="66" t="s">
        <v>8</v>
      </c>
      <c r="F760" s="66"/>
      <c r="G760" s="66"/>
      <c r="H760" s="66"/>
      <c r="I760" s="397" t="s">
        <v>8</v>
      </c>
      <c r="J760" s="66" t="s">
        <v>8</v>
      </c>
      <c r="K760" s="66" t="s">
        <v>8</v>
      </c>
      <c r="L760" s="66" t="s">
        <v>8</v>
      </c>
      <c r="M760" s="3"/>
      <c r="N760" s="126">
        <f t="shared" ref="N760:AQ760" si="195">N764+N766+N775+N795+N805+N810+N812+N816+N821+N833+N830+N770</f>
        <v>61252.5</v>
      </c>
      <c r="O760" s="126">
        <f t="shared" si="195"/>
        <v>59707</v>
      </c>
      <c r="P760" s="126">
        <f t="shared" si="195"/>
        <v>5061.7</v>
      </c>
      <c r="Q760" s="126">
        <f t="shared" si="195"/>
        <v>5061.7</v>
      </c>
      <c r="R760" s="126">
        <f t="shared" si="195"/>
        <v>56190.8</v>
      </c>
      <c r="S760" s="126">
        <f t="shared" si="195"/>
        <v>54645.3</v>
      </c>
      <c r="T760" s="126">
        <f t="shared" si="195"/>
        <v>0</v>
      </c>
      <c r="U760" s="126">
        <f t="shared" si="195"/>
        <v>0</v>
      </c>
      <c r="V760" s="126">
        <f t="shared" si="195"/>
        <v>0</v>
      </c>
      <c r="W760" s="126">
        <f t="shared" si="195"/>
        <v>0</v>
      </c>
      <c r="X760" s="126">
        <f t="shared" si="195"/>
        <v>103640.10000000002</v>
      </c>
      <c r="Y760" s="126">
        <f t="shared" si="195"/>
        <v>8566.1</v>
      </c>
      <c r="Z760" s="126">
        <f t="shared" si="195"/>
        <v>95074.000000000015</v>
      </c>
      <c r="AA760" s="126">
        <f t="shared" si="195"/>
        <v>0</v>
      </c>
      <c r="AB760" s="126">
        <f t="shared" si="195"/>
        <v>0</v>
      </c>
      <c r="AC760" s="126">
        <f t="shared" si="195"/>
        <v>64388.9</v>
      </c>
      <c r="AD760" s="126">
        <f t="shared" si="195"/>
        <v>6595.0999999999995</v>
      </c>
      <c r="AE760" s="126">
        <f t="shared" si="195"/>
        <v>57793.8</v>
      </c>
      <c r="AF760" s="126">
        <f t="shared" si="195"/>
        <v>0</v>
      </c>
      <c r="AG760" s="126">
        <f t="shared" si="195"/>
        <v>0</v>
      </c>
      <c r="AH760" s="126">
        <f t="shared" si="195"/>
        <v>66639.5</v>
      </c>
      <c r="AI760" s="126">
        <f t="shared" si="195"/>
        <v>8935.4</v>
      </c>
      <c r="AJ760" s="126">
        <f t="shared" si="195"/>
        <v>57704.100000000006</v>
      </c>
      <c r="AK760" s="126">
        <f t="shared" si="195"/>
        <v>0</v>
      </c>
      <c r="AL760" s="126">
        <f t="shared" si="195"/>
        <v>0</v>
      </c>
      <c r="AM760" s="126">
        <f t="shared" si="195"/>
        <v>66639.5</v>
      </c>
      <c r="AN760" s="126">
        <f t="shared" si="195"/>
        <v>8935.4</v>
      </c>
      <c r="AO760" s="126">
        <f t="shared" si="195"/>
        <v>57704.100000000006</v>
      </c>
      <c r="AP760" s="126">
        <f t="shared" si="195"/>
        <v>0</v>
      </c>
      <c r="AQ760" s="126">
        <f t="shared" si="195"/>
        <v>0</v>
      </c>
    </row>
    <row r="761" spans="1:43" ht="35.450000000000003" customHeight="1">
      <c r="A761" s="317" t="s">
        <v>1012</v>
      </c>
      <c r="B761" s="318">
        <v>3101</v>
      </c>
      <c r="C761" s="75" t="s">
        <v>8</v>
      </c>
      <c r="D761" s="75" t="s">
        <v>8</v>
      </c>
      <c r="E761" s="75" t="s">
        <v>8</v>
      </c>
      <c r="F761" s="75"/>
      <c r="G761" s="75"/>
      <c r="H761" s="75"/>
      <c r="I761" s="404" t="s">
        <v>8</v>
      </c>
      <c r="J761" s="75" t="s">
        <v>8</v>
      </c>
      <c r="K761" s="75" t="s">
        <v>8</v>
      </c>
      <c r="L761" s="75" t="s">
        <v>8</v>
      </c>
      <c r="M761" s="66" t="s">
        <v>8</v>
      </c>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row>
    <row r="762" spans="1:43" ht="35.450000000000003" customHeight="1">
      <c r="A762" s="69" t="s">
        <v>10</v>
      </c>
      <c r="B762" s="410">
        <v>3102</v>
      </c>
      <c r="C762" s="71"/>
      <c r="D762" s="3"/>
      <c r="E762" s="3"/>
      <c r="F762" s="3"/>
      <c r="G762" s="3"/>
      <c r="H762" s="3"/>
      <c r="I762" s="399"/>
      <c r="J762" s="3"/>
      <c r="K762" s="3"/>
      <c r="L762" s="3"/>
      <c r="M762" s="75" t="s">
        <v>8</v>
      </c>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row>
    <row r="763" spans="1:43" ht="35.450000000000003" customHeight="1">
      <c r="A763" s="406" t="s">
        <v>994</v>
      </c>
      <c r="B763" s="194"/>
      <c r="C763" s="71"/>
      <c r="D763" s="3"/>
      <c r="E763" s="3"/>
      <c r="F763" s="3"/>
      <c r="G763" s="3"/>
      <c r="H763" s="3"/>
      <c r="I763" s="39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row>
    <row r="764" spans="1:43" ht="35.450000000000003" customHeight="1" thickBot="1">
      <c r="A764" s="76" t="s">
        <v>1013</v>
      </c>
      <c r="B764" s="385">
        <v>3103</v>
      </c>
      <c r="C764" s="78"/>
      <c r="D764" s="5"/>
      <c r="E764" s="5"/>
      <c r="F764" s="5"/>
      <c r="G764" s="5"/>
      <c r="H764" s="5"/>
      <c r="I764" s="386"/>
      <c r="J764" s="5"/>
      <c r="K764" s="5"/>
      <c r="L764" s="5"/>
      <c r="M764" s="3"/>
      <c r="N764" s="5">
        <f t="shared" ref="N764:V764" si="196">N765</f>
        <v>11.8</v>
      </c>
      <c r="O764" s="5">
        <f t="shared" si="196"/>
        <v>11.8</v>
      </c>
      <c r="P764" s="5">
        <f t="shared" si="196"/>
        <v>11.8</v>
      </c>
      <c r="Q764" s="5">
        <f t="shared" si="196"/>
        <v>11.8</v>
      </c>
      <c r="R764" s="5">
        <f t="shared" si="196"/>
        <v>0</v>
      </c>
      <c r="S764" s="5">
        <f t="shared" si="196"/>
        <v>0</v>
      </c>
      <c r="T764" s="5">
        <f t="shared" si="196"/>
        <v>0</v>
      </c>
      <c r="U764" s="5">
        <f t="shared" si="196"/>
        <v>0</v>
      </c>
      <c r="V764" s="5">
        <f t="shared" si="196"/>
        <v>0</v>
      </c>
      <c r="W764" s="5"/>
      <c r="X764" s="5">
        <f t="shared" ref="X764:AQ764" si="197">X765</f>
        <v>4.0999999999999996</v>
      </c>
      <c r="Y764" s="5">
        <f t="shared" si="197"/>
        <v>4.0999999999999996</v>
      </c>
      <c r="Z764" s="5">
        <f t="shared" si="197"/>
        <v>0</v>
      </c>
      <c r="AA764" s="5">
        <f t="shared" si="197"/>
        <v>0</v>
      </c>
      <c r="AB764" s="5">
        <f t="shared" si="197"/>
        <v>0</v>
      </c>
      <c r="AC764" s="5">
        <f t="shared" si="197"/>
        <v>98.4</v>
      </c>
      <c r="AD764" s="5">
        <f t="shared" si="197"/>
        <v>98.4</v>
      </c>
      <c r="AE764" s="5">
        <f t="shared" si="197"/>
        <v>0</v>
      </c>
      <c r="AF764" s="5">
        <f t="shared" si="197"/>
        <v>0</v>
      </c>
      <c r="AG764" s="5">
        <f t="shared" si="197"/>
        <v>0</v>
      </c>
      <c r="AH764" s="5">
        <f t="shared" si="197"/>
        <v>4</v>
      </c>
      <c r="AI764" s="5">
        <f t="shared" si="197"/>
        <v>4</v>
      </c>
      <c r="AJ764" s="5">
        <f t="shared" si="197"/>
        <v>0</v>
      </c>
      <c r="AK764" s="5">
        <f t="shared" si="197"/>
        <v>0</v>
      </c>
      <c r="AL764" s="5">
        <f t="shared" si="197"/>
        <v>0</v>
      </c>
      <c r="AM764" s="5">
        <f t="shared" si="197"/>
        <v>4</v>
      </c>
      <c r="AN764" s="5">
        <f t="shared" si="197"/>
        <v>4</v>
      </c>
      <c r="AO764" s="5">
        <f t="shared" si="197"/>
        <v>0</v>
      </c>
      <c r="AP764" s="5">
        <f t="shared" si="197"/>
        <v>0</v>
      </c>
      <c r="AQ764" s="5">
        <f t="shared" si="197"/>
        <v>0</v>
      </c>
    </row>
    <row r="765" spans="1:43" ht="35.450000000000003" customHeight="1" thickBot="1">
      <c r="A765" s="72" t="s">
        <v>30</v>
      </c>
      <c r="B765" s="318"/>
      <c r="C765" s="84" t="s">
        <v>1014</v>
      </c>
      <c r="D765" s="84" t="s">
        <v>227</v>
      </c>
      <c r="E765" s="84" t="s">
        <v>1015</v>
      </c>
      <c r="F765" s="84" t="s">
        <v>1016</v>
      </c>
      <c r="G765" s="84" t="s">
        <v>19</v>
      </c>
      <c r="H765" s="84" t="s">
        <v>1017</v>
      </c>
      <c r="I765" s="399"/>
      <c r="J765" s="3" t="s">
        <v>1018</v>
      </c>
      <c r="K765" s="3"/>
      <c r="L765" s="3"/>
      <c r="M765" s="87" t="s">
        <v>1019</v>
      </c>
      <c r="N765" s="3">
        <f>P765+R765+T765+V765</f>
        <v>11.8</v>
      </c>
      <c r="O765" s="3">
        <f>Q765</f>
        <v>11.8</v>
      </c>
      <c r="P765" s="3">
        <v>11.8</v>
      </c>
      <c r="Q765" s="3">
        <v>11.8</v>
      </c>
      <c r="R765" s="3"/>
      <c r="S765" s="3"/>
      <c r="T765" s="3"/>
      <c r="U765" s="3"/>
      <c r="V765" s="3"/>
      <c r="W765" s="3"/>
      <c r="X765" s="3">
        <f>Y765+Z765+AA765+AB765</f>
        <v>4.0999999999999996</v>
      </c>
      <c r="Y765" s="3">
        <v>4.0999999999999996</v>
      </c>
      <c r="Z765" s="3"/>
      <c r="AA765" s="3"/>
      <c r="AB765" s="3"/>
      <c r="AC765" s="3">
        <f>AD765+AE765+AF765+AG765</f>
        <v>98.4</v>
      </c>
      <c r="AD765" s="3">
        <v>98.4</v>
      </c>
      <c r="AE765" s="3"/>
      <c r="AF765" s="3"/>
      <c r="AG765" s="3"/>
      <c r="AH765" s="3">
        <f>AI765+AJ765+AK765+AL765</f>
        <v>4</v>
      </c>
      <c r="AI765" s="3">
        <v>4</v>
      </c>
      <c r="AJ765" s="3"/>
      <c r="AK765" s="3"/>
      <c r="AL765" s="3"/>
      <c r="AM765" s="3">
        <f>AN765+AO765+AP765+AQ765</f>
        <v>4</v>
      </c>
      <c r="AN765" s="3">
        <v>4</v>
      </c>
      <c r="AO765" s="3"/>
      <c r="AP765" s="3"/>
      <c r="AQ765" s="3"/>
    </row>
    <row r="766" spans="1:43" ht="35.450000000000003" customHeight="1">
      <c r="A766" s="142" t="s">
        <v>1020</v>
      </c>
      <c r="B766" s="385">
        <v>3104</v>
      </c>
      <c r="C766" s="78"/>
      <c r="D766" s="5"/>
      <c r="E766" s="5"/>
      <c r="F766" s="5"/>
      <c r="G766" s="5"/>
      <c r="H766" s="5"/>
      <c r="I766" s="386"/>
      <c r="J766" s="5"/>
      <c r="K766" s="5"/>
      <c r="L766" s="5"/>
      <c r="N766" s="5">
        <f>N767+N769+N768</f>
        <v>5049.8999999999996</v>
      </c>
      <c r="O766" s="5">
        <f>O767+O769+O768</f>
        <v>5049.8999999999996</v>
      </c>
      <c r="P766" s="5">
        <f>P767+P769+P768</f>
        <v>5049.8999999999996</v>
      </c>
      <c r="Q766" s="5">
        <f>Q767+Q769+Q768</f>
        <v>5049.8999999999996</v>
      </c>
      <c r="R766" s="5">
        <f t="shared" ref="R766:W766" si="198">R767+R769</f>
        <v>0</v>
      </c>
      <c r="S766" s="5">
        <f t="shared" si="198"/>
        <v>0</v>
      </c>
      <c r="T766" s="5">
        <f t="shared" si="198"/>
        <v>0</v>
      </c>
      <c r="U766" s="5">
        <f t="shared" si="198"/>
        <v>0</v>
      </c>
      <c r="V766" s="5">
        <f t="shared" si="198"/>
        <v>0</v>
      </c>
      <c r="W766" s="5">
        <f t="shared" si="198"/>
        <v>0</v>
      </c>
      <c r="X766" s="5">
        <f>X767+X769+X768</f>
        <v>6026.9</v>
      </c>
      <c r="Y766" s="5">
        <f>Y767+Y769+Y768</f>
        <v>6026.9</v>
      </c>
      <c r="Z766" s="5">
        <f>Z767+Z769</f>
        <v>0</v>
      </c>
      <c r="AA766" s="5">
        <f>AA767+AA769</f>
        <v>0</v>
      </c>
      <c r="AB766" s="5">
        <f>AB767+AB769</f>
        <v>0</v>
      </c>
      <c r="AC766" s="5">
        <f>AC767+AC769+AC768</f>
        <v>6496.7</v>
      </c>
      <c r="AD766" s="5">
        <f>AD767+AD769+AD768</f>
        <v>6496.7</v>
      </c>
      <c r="AE766" s="5">
        <f>AE767+AE769</f>
        <v>0</v>
      </c>
      <c r="AF766" s="5">
        <f>AF767+AF769</f>
        <v>0</v>
      </c>
      <c r="AG766" s="5">
        <f>AG767+AG769</f>
        <v>0</v>
      </c>
      <c r="AH766" s="5">
        <f>AH767+AH769+AH768</f>
        <v>6711.7999999999993</v>
      </c>
      <c r="AI766" s="5">
        <f>AI767+AI769+AI768</f>
        <v>6711.7999999999993</v>
      </c>
      <c r="AJ766" s="5">
        <f t="shared" ref="AJ766:AQ766" si="199">AJ767+AJ769</f>
        <v>0</v>
      </c>
      <c r="AK766" s="5">
        <f t="shared" si="199"/>
        <v>0</v>
      </c>
      <c r="AL766" s="5">
        <f t="shared" si="199"/>
        <v>0</v>
      </c>
      <c r="AM766" s="5">
        <f>AM767+AM769+AM768</f>
        <v>6711.7999999999993</v>
      </c>
      <c r="AN766" s="5">
        <f>AN767+AN769+AN768</f>
        <v>6711.7999999999993</v>
      </c>
      <c r="AO766" s="5">
        <f t="shared" si="199"/>
        <v>0</v>
      </c>
      <c r="AP766" s="5">
        <f t="shared" si="199"/>
        <v>0</v>
      </c>
      <c r="AQ766" s="5">
        <f t="shared" si="199"/>
        <v>0</v>
      </c>
    </row>
    <row r="767" spans="1:43" ht="35.450000000000003" customHeight="1">
      <c r="A767" s="146" t="s">
        <v>30</v>
      </c>
      <c r="B767" s="318"/>
      <c r="C767" s="131" t="s">
        <v>1021</v>
      </c>
      <c r="D767" s="87"/>
      <c r="E767" s="87"/>
      <c r="F767" s="87"/>
      <c r="G767" s="87"/>
      <c r="H767" s="87"/>
      <c r="I767" s="411" t="s">
        <v>1022</v>
      </c>
      <c r="J767" s="87"/>
      <c r="K767" s="87"/>
      <c r="L767" s="3"/>
      <c r="M767" s="87" t="s">
        <v>1023</v>
      </c>
      <c r="N767" s="3">
        <f>P767+R767+T767+V767</f>
        <v>3647.2</v>
      </c>
      <c r="O767" s="3">
        <f>Q767</f>
        <v>3647.2</v>
      </c>
      <c r="P767" s="3">
        <v>3647.2</v>
      </c>
      <c r="Q767" s="3">
        <v>3647.2</v>
      </c>
      <c r="R767" s="3"/>
      <c r="S767" s="3"/>
      <c r="T767" s="3"/>
      <c r="U767" s="3"/>
      <c r="V767" s="3"/>
      <c r="W767" s="3"/>
      <c r="X767" s="3">
        <f>Y767+Z767+AA767+AB767</f>
        <v>3908.5</v>
      </c>
      <c r="Y767" s="3">
        <f>3874.9+33.6</f>
        <v>3908.5</v>
      </c>
      <c r="Z767" s="3"/>
      <c r="AA767" s="3"/>
      <c r="AB767" s="3"/>
      <c r="AC767" s="3">
        <f>AD767+AE767+AF767+AG767</f>
        <v>3892.5</v>
      </c>
      <c r="AD767" s="3">
        <v>3892.5</v>
      </c>
      <c r="AE767" s="3"/>
      <c r="AF767" s="3"/>
      <c r="AG767" s="3"/>
      <c r="AH767" s="3">
        <f>AI767+AJ767+AK767+AL767</f>
        <v>4057.7</v>
      </c>
      <c r="AI767" s="3">
        <v>4057.7</v>
      </c>
      <c r="AJ767" s="3"/>
      <c r="AK767" s="3"/>
      <c r="AL767" s="3"/>
      <c r="AM767" s="3">
        <f>AN767+AO767+AP767+AQ767</f>
        <v>4057.7</v>
      </c>
      <c r="AN767" s="3">
        <v>4057.7</v>
      </c>
      <c r="AO767" s="3"/>
      <c r="AP767" s="3"/>
      <c r="AQ767" s="3"/>
    </row>
    <row r="768" spans="1:43" ht="35.450000000000003" customHeight="1">
      <c r="A768" s="146" t="s">
        <v>30</v>
      </c>
      <c r="B768" s="318"/>
      <c r="C768" s="131"/>
      <c r="D768" s="87"/>
      <c r="E768" s="87"/>
      <c r="F768" s="87"/>
      <c r="G768" s="87"/>
      <c r="H768" s="87"/>
      <c r="I768" s="196"/>
      <c r="J768" s="87"/>
      <c r="K768" s="87"/>
      <c r="L768" s="3"/>
      <c r="M768" s="87" t="s">
        <v>1024</v>
      </c>
      <c r="N768" s="3">
        <f>P768+R768+T768+V768</f>
        <v>1096.8</v>
      </c>
      <c r="O768" s="3">
        <f>Q768</f>
        <v>1096.8</v>
      </c>
      <c r="P768" s="3">
        <v>1096.8</v>
      </c>
      <c r="Q768" s="3">
        <v>1096.8</v>
      </c>
      <c r="R768" s="3"/>
      <c r="S768" s="3"/>
      <c r="T768" s="3"/>
      <c r="U768" s="3"/>
      <c r="V768" s="3"/>
      <c r="W768" s="3"/>
      <c r="X768" s="3">
        <f>Y768+Z768+AA768+AB768</f>
        <v>1180.4000000000001</v>
      </c>
      <c r="Y768" s="3">
        <f>1170.2+10.2</f>
        <v>1180.4000000000001</v>
      </c>
      <c r="Z768" s="3"/>
      <c r="AA768" s="3"/>
      <c r="AB768" s="3"/>
      <c r="AC768" s="3">
        <f>AD768+AE768+AF768+AG768</f>
        <v>1175.5</v>
      </c>
      <c r="AD768" s="3">
        <v>1175.5</v>
      </c>
      <c r="AE768" s="3"/>
      <c r="AF768" s="3"/>
      <c r="AG768" s="3"/>
      <c r="AH768" s="3">
        <f>AI768+AJ768+AK768+AL768</f>
        <v>1225.4000000000001</v>
      </c>
      <c r="AI768" s="3">
        <v>1225.4000000000001</v>
      </c>
      <c r="AJ768" s="3"/>
      <c r="AK768" s="3"/>
      <c r="AL768" s="3"/>
      <c r="AM768" s="3">
        <f>AN768+AO768+AP768+AQ768</f>
        <v>1225.4000000000001</v>
      </c>
      <c r="AN768" s="3">
        <v>1225.4000000000001</v>
      </c>
      <c r="AO768" s="3"/>
      <c r="AP768" s="3"/>
      <c r="AQ768" s="3"/>
    </row>
    <row r="769" spans="1:43" ht="35.450000000000003" customHeight="1">
      <c r="A769" s="146" t="s">
        <v>30</v>
      </c>
      <c r="B769" s="318"/>
      <c r="C769" s="131"/>
      <c r="D769" s="87"/>
      <c r="E769" s="87"/>
      <c r="F769" s="87"/>
      <c r="G769" s="87"/>
      <c r="H769" s="87"/>
      <c r="I769" s="196"/>
      <c r="J769" s="87"/>
      <c r="K769" s="87"/>
      <c r="L769" s="3"/>
      <c r="M769" s="87" t="s">
        <v>1025</v>
      </c>
      <c r="N769" s="3">
        <f>P769+R769+T769+V769</f>
        <v>305.89999999999998</v>
      </c>
      <c r="O769" s="3">
        <f>Q769</f>
        <v>305.89999999999998</v>
      </c>
      <c r="P769" s="3">
        <v>305.89999999999998</v>
      </c>
      <c r="Q769" s="3">
        <v>305.89999999999998</v>
      </c>
      <c r="R769" s="3"/>
      <c r="S769" s="3"/>
      <c r="T769" s="3"/>
      <c r="U769" s="3"/>
      <c r="V769" s="3"/>
      <c r="W769" s="3"/>
      <c r="X769" s="3">
        <f>Y769+Z769+AA769+AB769</f>
        <v>938</v>
      </c>
      <c r="Y769" s="3">
        <v>938</v>
      </c>
      <c r="Z769" s="3"/>
      <c r="AA769" s="3"/>
      <c r="AB769" s="3"/>
      <c r="AC769" s="3">
        <f>AD769+AE769+AF769+AG769</f>
        <v>1428.7</v>
      </c>
      <c r="AD769" s="3">
        <v>1428.7</v>
      </c>
      <c r="AE769" s="3"/>
      <c r="AF769" s="3"/>
      <c r="AG769" s="3"/>
      <c r="AH769" s="3">
        <f>AI769+AJ769+AK769+AL769</f>
        <v>1428.7</v>
      </c>
      <c r="AI769" s="3">
        <v>1428.7</v>
      </c>
      <c r="AJ769" s="3"/>
      <c r="AK769" s="3"/>
      <c r="AL769" s="3"/>
      <c r="AM769" s="3">
        <f>AN769+AO769+AP769+AQ769</f>
        <v>1428.7</v>
      </c>
      <c r="AN769" s="3">
        <v>1428.7</v>
      </c>
      <c r="AO769" s="3"/>
      <c r="AP769" s="3"/>
      <c r="AQ769" s="3"/>
    </row>
    <row r="770" spans="1:43" ht="35.450000000000003" customHeight="1">
      <c r="A770" s="293" t="s">
        <v>1026</v>
      </c>
      <c r="B770" s="385"/>
      <c r="C770" s="244"/>
      <c r="D770" s="244"/>
      <c r="E770" s="244"/>
      <c r="F770" s="244"/>
      <c r="G770" s="244"/>
      <c r="H770" s="244"/>
      <c r="I770" s="393"/>
      <c r="J770" s="244"/>
      <c r="K770" s="244"/>
      <c r="L770" s="5"/>
      <c r="M770" s="87"/>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row>
    <row r="771" spans="1:43" ht="35.450000000000003" customHeight="1">
      <c r="A771" s="412" t="s">
        <v>30</v>
      </c>
      <c r="B771" s="318"/>
      <c r="C771" s="87" t="s">
        <v>1027</v>
      </c>
      <c r="D771" s="87"/>
      <c r="E771" s="87"/>
      <c r="F771" s="87"/>
      <c r="G771" s="87"/>
      <c r="H771" s="87"/>
      <c r="I771" s="411" t="s">
        <v>1028</v>
      </c>
      <c r="J771" s="87"/>
      <c r="K771" s="87"/>
      <c r="L771" s="3"/>
      <c r="M771" s="244"/>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row>
    <row r="772" spans="1:43" ht="35.450000000000003" customHeight="1">
      <c r="A772" s="412"/>
      <c r="B772" s="318"/>
      <c r="C772" s="4" t="s">
        <v>1029</v>
      </c>
      <c r="D772" s="4" t="s">
        <v>1030</v>
      </c>
      <c r="E772" s="4" t="s">
        <v>1031</v>
      </c>
      <c r="F772" s="87"/>
      <c r="G772" s="87"/>
      <c r="H772" s="87"/>
      <c r="I772" s="196"/>
      <c r="J772" s="87"/>
      <c r="K772" s="87"/>
      <c r="L772" s="3"/>
      <c r="M772" s="244"/>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row>
    <row r="773" spans="1:43" ht="35.450000000000003" customHeight="1">
      <c r="A773" s="65" t="s">
        <v>1032</v>
      </c>
      <c r="B773" s="318">
        <v>3200</v>
      </c>
      <c r="C773" s="75" t="s">
        <v>8</v>
      </c>
      <c r="D773" s="75" t="s">
        <v>8</v>
      </c>
      <c r="E773" s="75" t="s">
        <v>8</v>
      </c>
      <c r="F773" s="75"/>
      <c r="G773" s="75"/>
      <c r="H773" s="75"/>
      <c r="I773" s="404" t="s">
        <v>8</v>
      </c>
      <c r="J773" s="75" t="s">
        <v>8</v>
      </c>
      <c r="K773" s="75" t="s">
        <v>8</v>
      </c>
      <c r="L773" s="75" t="s">
        <v>8</v>
      </c>
      <c r="M773" s="75" t="s">
        <v>8</v>
      </c>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row>
    <row r="774" spans="1:43" ht="35.450000000000003" customHeight="1">
      <c r="A774" s="69" t="s">
        <v>10</v>
      </c>
      <c r="B774" s="410">
        <v>3201</v>
      </c>
      <c r="C774" s="71"/>
      <c r="D774" s="3"/>
      <c r="E774" s="3"/>
      <c r="F774" s="3"/>
      <c r="G774" s="3"/>
      <c r="H774" s="3"/>
      <c r="I774" s="399"/>
      <c r="J774" s="3"/>
      <c r="K774" s="3"/>
      <c r="L774" s="3"/>
      <c r="M774" s="87"/>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row>
    <row r="775" spans="1:43" ht="35.450000000000003" customHeight="1" thickBot="1">
      <c r="A775" s="76" t="s">
        <v>1033</v>
      </c>
      <c r="B775" s="390"/>
      <c r="C775" s="78"/>
      <c r="D775" s="5"/>
      <c r="E775" s="5"/>
      <c r="F775" s="5"/>
      <c r="G775" s="5"/>
      <c r="H775" s="5"/>
      <c r="I775" s="386"/>
      <c r="J775" s="5"/>
      <c r="K775" s="5"/>
      <c r="L775" s="5">
        <v>1</v>
      </c>
      <c r="M775" s="3"/>
      <c r="N775" s="126">
        <f>N776+N777+N778+N779+N780+N781+N790++N791+N792+N793+N794+N783+N782+N786+N789+N787+N788+N784+N785</f>
        <v>2563.8000000000006</v>
      </c>
      <c r="O775" s="126">
        <f t="shared" ref="O775:AQ775" si="200">O776+O777+O778+O779+O780+O781+O790++O791+O792+O793+O794+O783+O782+O786+O789+O787+O788+O784+O785</f>
        <v>2479.7000000000007</v>
      </c>
      <c r="P775" s="126">
        <f t="shared" si="200"/>
        <v>0</v>
      </c>
      <c r="Q775" s="126">
        <f t="shared" si="200"/>
        <v>0</v>
      </c>
      <c r="R775" s="126">
        <f t="shared" si="200"/>
        <v>2563.8000000000006</v>
      </c>
      <c r="S775" s="126">
        <f t="shared" si="200"/>
        <v>2479.7000000000007</v>
      </c>
      <c r="T775" s="126">
        <f t="shared" si="200"/>
        <v>0</v>
      </c>
      <c r="U775" s="126">
        <f t="shared" si="200"/>
        <v>0</v>
      </c>
      <c r="V775" s="126">
        <f t="shared" si="200"/>
        <v>0</v>
      </c>
      <c r="W775" s="126">
        <f t="shared" si="200"/>
        <v>0</v>
      </c>
      <c r="X775" s="126">
        <f t="shared" si="200"/>
        <v>3093.4</v>
      </c>
      <c r="Y775" s="126">
        <f t="shared" si="200"/>
        <v>0</v>
      </c>
      <c r="Z775" s="126">
        <f t="shared" si="200"/>
        <v>3093.4</v>
      </c>
      <c r="AA775" s="126">
        <f t="shared" si="200"/>
        <v>0</v>
      </c>
      <c r="AB775" s="126">
        <f t="shared" si="200"/>
        <v>0</v>
      </c>
      <c r="AC775" s="126">
        <f t="shared" si="200"/>
        <v>2692.0000000000005</v>
      </c>
      <c r="AD775" s="126">
        <f t="shared" si="200"/>
        <v>0</v>
      </c>
      <c r="AE775" s="126">
        <f t="shared" si="200"/>
        <v>2692.0000000000005</v>
      </c>
      <c r="AF775" s="126">
        <f t="shared" si="200"/>
        <v>0</v>
      </c>
      <c r="AG775" s="126">
        <f t="shared" si="200"/>
        <v>0</v>
      </c>
      <c r="AH775" s="126">
        <f t="shared" si="200"/>
        <v>2703.3000000000006</v>
      </c>
      <c r="AI775" s="126">
        <f t="shared" si="200"/>
        <v>0</v>
      </c>
      <c r="AJ775" s="126">
        <f t="shared" si="200"/>
        <v>2703.3000000000006</v>
      </c>
      <c r="AK775" s="126">
        <f t="shared" si="200"/>
        <v>0</v>
      </c>
      <c r="AL775" s="126">
        <f t="shared" si="200"/>
        <v>0</v>
      </c>
      <c r="AM775" s="126">
        <f t="shared" si="200"/>
        <v>2703.3000000000006</v>
      </c>
      <c r="AN775" s="126">
        <f t="shared" si="200"/>
        <v>0</v>
      </c>
      <c r="AO775" s="126">
        <f t="shared" si="200"/>
        <v>2703.3000000000006</v>
      </c>
      <c r="AP775" s="126">
        <f t="shared" si="200"/>
        <v>0</v>
      </c>
      <c r="AQ775" s="126">
        <f t="shared" si="200"/>
        <v>0</v>
      </c>
    </row>
    <row r="776" spans="1:43" ht="35.450000000000003" customHeight="1" thickBot="1">
      <c r="A776" s="72" t="s">
        <v>30</v>
      </c>
      <c r="B776" s="194"/>
      <c r="C776" s="84" t="s">
        <v>962</v>
      </c>
      <c r="D776" s="84" t="s">
        <v>1034</v>
      </c>
      <c r="E776" s="84" t="s">
        <v>964</v>
      </c>
      <c r="F776" s="84" t="s">
        <v>1035</v>
      </c>
      <c r="G776" s="84" t="s">
        <v>19</v>
      </c>
      <c r="H776" s="84" t="s">
        <v>1036</v>
      </c>
      <c r="I776" s="413" t="s">
        <v>1037</v>
      </c>
      <c r="J776" s="3"/>
      <c r="K776" s="3"/>
      <c r="L776" s="3"/>
      <c r="M776" s="87" t="s">
        <v>1038</v>
      </c>
      <c r="N776" s="3">
        <f t="shared" ref="N776:N782" si="201">P776+R776+T776+V776</f>
        <v>15.4</v>
      </c>
      <c r="O776" s="3">
        <f>Q776+S776</f>
        <v>15.4</v>
      </c>
      <c r="P776" s="3"/>
      <c r="Q776" s="3"/>
      <c r="R776" s="3">
        <v>15.4</v>
      </c>
      <c r="S776" s="3">
        <v>15.4</v>
      </c>
      <c r="T776" s="3"/>
      <c r="U776" s="3"/>
      <c r="V776" s="3"/>
      <c r="W776" s="3"/>
      <c r="X776" s="3">
        <f>Y776+Z776+AA776+AB776</f>
        <v>18.2</v>
      </c>
      <c r="Y776" s="3"/>
      <c r="Z776" s="3">
        <f>15.5+2.7</f>
        <v>18.2</v>
      </c>
      <c r="AA776" s="3"/>
      <c r="AB776" s="3"/>
      <c r="AC776" s="3">
        <f>AD776+AE776+AF776+AG776</f>
        <v>15.5</v>
      </c>
      <c r="AD776" s="3"/>
      <c r="AE776" s="3">
        <v>15.5</v>
      </c>
      <c r="AF776" s="3"/>
      <c r="AG776" s="3"/>
      <c r="AH776" s="3">
        <f>AI776+AJ776+AK776+AL776</f>
        <v>15.5</v>
      </c>
      <c r="AI776" s="3"/>
      <c r="AJ776" s="3">
        <v>15.5</v>
      </c>
      <c r="AK776" s="3"/>
      <c r="AL776" s="3"/>
      <c r="AM776" s="3">
        <f>AN776+AO776+AP776+AQ776</f>
        <v>15.5</v>
      </c>
      <c r="AN776" s="3"/>
      <c r="AO776" s="3">
        <v>15.5</v>
      </c>
      <c r="AP776" s="3"/>
      <c r="AQ776" s="3"/>
    </row>
    <row r="777" spans="1:43" ht="35.450000000000003" customHeight="1" thickBot="1">
      <c r="A777" s="72" t="s">
        <v>30</v>
      </c>
      <c r="B777" s="194"/>
      <c r="C777" s="71"/>
      <c r="D777" s="3"/>
      <c r="E777" s="3"/>
      <c r="F777" s="87"/>
      <c r="G777" s="3"/>
      <c r="H777" s="3"/>
      <c r="I777" s="414"/>
      <c r="J777" s="3"/>
      <c r="K777" s="3"/>
      <c r="L777" s="3"/>
      <c r="M777" s="87" t="s">
        <v>1039</v>
      </c>
      <c r="N777" s="3">
        <f t="shared" si="201"/>
        <v>2.4</v>
      </c>
      <c r="O777" s="3">
        <f t="shared" ref="O777:O794" si="202">Q777+S777</f>
        <v>2.4</v>
      </c>
      <c r="P777" s="3"/>
      <c r="Q777" s="3"/>
      <c r="R777" s="3">
        <v>2.4</v>
      </c>
      <c r="S777" s="3">
        <v>2.4</v>
      </c>
      <c r="T777" s="3"/>
      <c r="U777" s="3"/>
      <c r="V777" s="3"/>
      <c r="W777" s="3"/>
      <c r="X777" s="3">
        <f t="shared" ref="X777:X782" si="203">Y777+Z777+AA777+AB777</f>
        <v>2.5</v>
      </c>
      <c r="Y777" s="3"/>
      <c r="Z777" s="3">
        <v>2.5</v>
      </c>
      <c r="AA777" s="3"/>
      <c r="AB777" s="3"/>
      <c r="AC777" s="3">
        <f t="shared" ref="AC777:AC782" si="204">AD777+AE777+AF777+AG777</f>
        <v>2.5</v>
      </c>
      <c r="AD777" s="3"/>
      <c r="AE777" s="3">
        <v>2.5</v>
      </c>
      <c r="AF777" s="3"/>
      <c r="AG777" s="3"/>
      <c r="AH777" s="3">
        <f t="shared" ref="AH777:AH794" si="205">AI777+AJ777+AK777+AL777</f>
        <v>2.5</v>
      </c>
      <c r="AI777" s="3"/>
      <c r="AJ777" s="3">
        <v>2.5</v>
      </c>
      <c r="AK777" s="3"/>
      <c r="AL777" s="3"/>
      <c r="AM777" s="3">
        <f t="shared" ref="AM777:AM782" si="206">AN777+AO777+AP777+AQ777</f>
        <v>2.5</v>
      </c>
      <c r="AN777" s="3"/>
      <c r="AO777" s="3">
        <v>2.5</v>
      </c>
      <c r="AP777" s="3"/>
      <c r="AQ777" s="3"/>
    </row>
    <row r="778" spans="1:43" ht="35.450000000000003" customHeight="1" thickBot="1">
      <c r="A778" s="72" t="s">
        <v>30</v>
      </c>
      <c r="B778" s="194"/>
      <c r="C778" s="84" t="s">
        <v>962</v>
      </c>
      <c r="D778" s="84" t="s">
        <v>1040</v>
      </c>
      <c r="E778" s="84" t="s">
        <v>964</v>
      </c>
      <c r="F778" s="84" t="s">
        <v>1041</v>
      </c>
      <c r="G778" s="84" t="s">
        <v>19</v>
      </c>
      <c r="H778" s="84" t="s">
        <v>1042</v>
      </c>
      <c r="I778" s="411" t="s">
        <v>1043</v>
      </c>
      <c r="J778" s="3"/>
      <c r="K778" s="3"/>
      <c r="L778" s="3"/>
      <c r="M778" s="87" t="s">
        <v>1044</v>
      </c>
      <c r="N778" s="3">
        <f t="shared" si="201"/>
        <v>211</v>
      </c>
      <c r="O778" s="3">
        <f t="shared" si="202"/>
        <v>211</v>
      </c>
      <c r="P778" s="3"/>
      <c r="Q778" s="3"/>
      <c r="R778" s="3">
        <f>220.8-9.9+0.1</f>
        <v>211</v>
      </c>
      <c r="S778" s="3">
        <v>211</v>
      </c>
      <c r="T778" s="3"/>
      <c r="U778" s="3"/>
      <c r="V778" s="3"/>
      <c r="W778" s="3"/>
      <c r="X778" s="3">
        <f t="shared" si="203"/>
        <v>259.8</v>
      </c>
      <c r="Y778" s="3"/>
      <c r="Z778" s="3">
        <f>220.9+38.9</f>
        <v>259.8</v>
      </c>
      <c r="AA778" s="3"/>
      <c r="AB778" s="3"/>
      <c r="AC778" s="3">
        <f t="shared" si="204"/>
        <v>220.9</v>
      </c>
      <c r="AD778" s="3"/>
      <c r="AE778" s="3">
        <v>220.9</v>
      </c>
      <c r="AF778" s="3"/>
      <c r="AG778" s="3"/>
      <c r="AH778" s="3">
        <f t="shared" si="205"/>
        <v>220.9</v>
      </c>
      <c r="AI778" s="3"/>
      <c r="AJ778" s="3">
        <v>220.9</v>
      </c>
      <c r="AK778" s="3"/>
      <c r="AL778" s="3"/>
      <c r="AM778" s="3">
        <f t="shared" si="206"/>
        <v>220.9</v>
      </c>
      <c r="AN778" s="3"/>
      <c r="AO778" s="3">
        <v>220.9</v>
      </c>
      <c r="AP778" s="3"/>
      <c r="AQ778" s="3"/>
    </row>
    <row r="779" spans="1:43" ht="35.450000000000003" customHeight="1" thickBot="1">
      <c r="A779" s="72" t="s">
        <v>30</v>
      </c>
      <c r="B779" s="194"/>
      <c r="C779" s="71"/>
      <c r="D779" s="3"/>
      <c r="E779" s="3"/>
      <c r="F779" s="84" t="s">
        <v>1045</v>
      </c>
      <c r="G779" s="84" t="s">
        <v>19</v>
      </c>
      <c r="H779" s="84" t="s">
        <v>1046</v>
      </c>
      <c r="I779" s="411" t="s">
        <v>1043</v>
      </c>
      <c r="J779" s="3"/>
      <c r="K779" s="3"/>
      <c r="L779" s="3"/>
      <c r="M779" s="87" t="s">
        <v>1047</v>
      </c>
      <c r="N779" s="3">
        <f t="shared" si="201"/>
        <v>39.799999999999997</v>
      </c>
      <c r="O779" s="3">
        <f t="shared" si="202"/>
        <v>12.5</v>
      </c>
      <c r="P779" s="3"/>
      <c r="Q779" s="3"/>
      <c r="R779" s="3">
        <f>48.6-8.8</f>
        <v>39.799999999999997</v>
      </c>
      <c r="S779" s="3">
        <v>12.5</v>
      </c>
      <c r="T779" s="3"/>
      <c r="U779" s="3"/>
      <c r="V779" s="3"/>
      <c r="W779" s="3"/>
      <c r="X779" s="3">
        <f t="shared" si="203"/>
        <v>50.8</v>
      </c>
      <c r="Y779" s="3"/>
      <c r="Z779" s="3">
        <v>50.8</v>
      </c>
      <c r="AA779" s="3"/>
      <c r="AB779" s="3"/>
      <c r="AC779" s="3">
        <f t="shared" si="204"/>
        <v>50.8</v>
      </c>
      <c r="AD779" s="3"/>
      <c r="AE779" s="3">
        <v>50.8</v>
      </c>
      <c r="AF779" s="3"/>
      <c r="AG779" s="3"/>
      <c r="AH779" s="3">
        <f t="shared" si="205"/>
        <v>50.8</v>
      </c>
      <c r="AI779" s="3"/>
      <c r="AJ779" s="3">
        <v>50.8</v>
      </c>
      <c r="AK779" s="3"/>
      <c r="AL779" s="3"/>
      <c r="AM779" s="3">
        <f t="shared" si="206"/>
        <v>50.8</v>
      </c>
      <c r="AN779" s="3"/>
      <c r="AO779" s="3">
        <v>50.8</v>
      </c>
      <c r="AP779" s="3"/>
      <c r="AQ779" s="3"/>
    </row>
    <row r="780" spans="1:43" ht="35.450000000000003" customHeight="1" thickBot="1">
      <c r="A780" s="72" t="s">
        <v>30</v>
      </c>
      <c r="B780" s="194"/>
      <c r="C780" s="84" t="s">
        <v>962</v>
      </c>
      <c r="D780" s="84" t="s">
        <v>1048</v>
      </c>
      <c r="E780" s="84" t="s">
        <v>964</v>
      </c>
      <c r="F780" s="84" t="s">
        <v>1049</v>
      </c>
      <c r="G780" s="84" t="s">
        <v>19</v>
      </c>
      <c r="H780" s="84" t="s">
        <v>1050</v>
      </c>
      <c r="I780" s="131" t="s">
        <v>1051</v>
      </c>
      <c r="J780" s="3"/>
      <c r="K780" s="3"/>
      <c r="L780" s="3"/>
      <c r="M780" s="196" t="s">
        <v>1052</v>
      </c>
      <c r="N780" s="3">
        <f t="shared" si="201"/>
        <v>222.8</v>
      </c>
      <c r="O780" s="3">
        <f t="shared" si="202"/>
        <v>222.8</v>
      </c>
      <c r="P780" s="3"/>
      <c r="Q780" s="3"/>
      <c r="R780" s="3">
        <v>222.8</v>
      </c>
      <c r="S780" s="3">
        <v>222.8</v>
      </c>
      <c r="T780" s="3"/>
      <c r="U780" s="3"/>
      <c r="V780" s="3"/>
      <c r="W780" s="3"/>
      <c r="X780" s="3">
        <f t="shared" si="203"/>
        <v>347</v>
      </c>
      <c r="Y780" s="3"/>
      <c r="Z780" s="3">
        <f>220.9+38.9+87.2</f>
        <v>347</v>
      </c>
      <c r="AA780" s="3"/>
      <c r="AB780" s="3"/>
      <c r="AC780" s="3">
        <f t="shared" si="204"/>
        <v>220.9</v>
      </c>
      <c r="AD780" s="3"/>
      <c r="AE780" s="3">
        <v>220.9</v>
      </c>
      <c r="AF780" s="3"/>
      <c r="AG780" s="3"/>
      <c r="AH780" s="3">
        <f t="shared" si="205"/>
        <v>220.9</v>
      </c>
      <c r="AI780" s="3"/>
      <c r="AJ780" s="3">
        <v>220.9</v>
      </c>
      <c r="AK780" s="3"/>
      <c r="AL780" s="3"/>
      <c r="AM780" s="3">
        <f t="shared" si="206"/>
        <v>220.9</v>
      </c>
      <c r="AN780" s="3"/>
      <c r="AO780" s="3">
        <v>220.9</v>
      </c>
      <c r="AP780" s="3"/>
      <c r="AQ780" s="3"/>
    </row>
    <row r="781" spans="1:43" ht="35.450000000000003" customHeight="1" thickBot="1">
      <c r="A781" s="72" t="s">
        <v>30</v>
      </c>
      <c r="B781" s="194"/>
      <c r="C781" s="71"/>
      <c r="D781" s="3"/>
      <c r="E781" s="3"/>
      <c r="F781" s="84" t="s">
        <v>1053</v>
      </c>
      <c r="G781" s="84" t="s">
        <v>19</v>
      </c>
      <c r="H781" s="84" t="s">
        <v>1054</v>
      </c>
      <c r="I781" s="131" t="s">
        <v>1051</v>
      </c>
      <c r="J781" s="3"/>
      <c r="K781" s="3"/>
      <c r="L781" s="3"/>
      <c r="M781" s="196" t="s">
        <v>1055</v>
      </c>
      <c r="N781" s="3">
        <f t="shared" si="201"/>
        <v>59.500000000000007</v>
      </c>
      <c r="O781" s="3">
        <f t="shared" si="202"/>
        <v>59.5</v>
      </c>
      <c r="P781" s="3"/>
      <c r="Q781" s="3"/>
      <c r="R781" s="3">
        <f>67.9-8.4</f>
        <v>59.500000000000007</v>
      </c>
      <c r="S781" s="3">
        <v>59.5</v>
      </c>
      <c r="T781" s="3"/>
      <c r="U781" s="3"/>
      <c r="V781" s="3"/>
      <c r="W781" s="3"/>
      <c r="X781" s="3">
        <f t="shared" si="203"/>
        <v>71.2</v>
      </c>
      <c r="Y781" s="3"/>
      <c r="Z781" s="3">
        <v>71.2</v>
      </c>
      <c r="AA781" s="3"/>
      <c r="AB781" s="3"/>
      <c r="AC781" s="3">
        <f t="shared" si="204"/>
        <v>71.2</v>
      </c>
      <c r="AD781" s="3"/>
      <c r="AE781" s="3">
        <v>71.2</v>
      </c>
      <c r="AF781" s="3"/>
      <c r="AG781" s="3"/>
      <c r="AH781" s="3">
        <f t="shared" si="205"/>
        <v>71.2</v>
      </c>
      <c r="AI781" s="3"/>
      <c r="AJ781" s="3">
        <v>71.2</v>
      </c>
      <c r="AK781" s="3"/>
      <c r="AL781" s="3"/>
      <c r="AM781" s="3">
        <f t="shared" si="206"/>
        <v>71.2</v>
      </c>
      <c r="AN781" s="3"/>
      <c r="AO781" s="3">
        <v>71.2</v>
      </c>
      <c r="AP781" s="3"/>
      <c r="AQ781" s="3"/>
    </row>
    <row r="782" spans="1:43" ht="35.450000000000003" customHeight="1" thickBot="1">
      <c r="A782" s="72" t="s">
        <v>30</v>
      </c>
      <c r="B782" s="415"/>
      <c r="C782" s="84"/>
      <c r="D782" s="84"/>
      <c r="E782" s="84"/>
      <c r="F782" s="84" t="s">
        <v>1056</v>
      </c>
      <c r="G782" s="84" t="s">
        <v>67</v>
      </c>
      <c r="H782" s="84" t="s">
        <v>1057</v>
      </c>
      <c r="I782" s="87"/>
      <c r="J782" s="3"/>
      <c r="K782" s="3"/>
      <c r="L782" s="3"/>
      <c r="M782" s="196" t="s">
        <v>1058</v>
      </c>
      <c r="N782" s="3">
        <f t="shared" si="201"/>
        <v>220.8</v>
      </c>
      <c r="O782" s="3">
        <f t="shared" si="202"/>
        <v>186.4</v>
      </c>
      <c r="P782" s="3"/>
      <c r="Q782" s="3"/>
      <c r="R782" s="3">
        <v>220.8</v>
      </c>
      <c r="S782" s="3">
        <v>186.4</v>
      </c>
      <c r="T782" s="3"/>
      <c r="U782" s="3"/>
      <c r="V782" s="3"/>
      <c r="W782" s="3"/>
      <c r="X782" s="3">
        <f t="shared" si="203"/>
        <v>259.8</v>
      </c>
      <c r="Y782" s="3"/>
      <c r="Z782" s="3">
        <f>220.9+38.9</f>
        <v>259.8</v>
      </c>
      <c r="AA782" s="3"/>
      <c r="AB782" s="3"/>
      <c r="AC782" s="3">
        <f t="shared" si="204"/>
        <v>220.9</v>
      </c>
      <c r="AD782" s="3"/>
      <c r="AE782" s="3">
        <v>220.9</v>
      </c>
      <c r="AF782" s="3"/>
      <c r="AG782" s="3"/>
      <c r="AH782" s="3">
        <f t="shared" si="205"/>
        <v>220.9</v>
      </c>
      <c r="AI782" s="3"/>
      <c r="AJ782" s="3">
        <v>220.9</v>
      </c>
      <c r="AK782" s="3"/>
      <c r="AL782" s="3"/>
      <c r="AM782" s="3">
        <f t="shared" si="206"/>
        <v>220.9</v>
      </c>
      <c r="AN782" s="3"/>
      <c r="AO782" s="3">
        <v>220.9</v>
      </c>
      <c r="AP782" s="3"/>
      <c r="AQ782" s="3"/>
    </row>
    <row r="783" spans="1:43" ht="35.450000000000003" customHeight="1" thickBot="1">
      <c r="A783" s="72" t="s">
        <v>256</v>
      </c>
      <c r="B783" s="80"/>
      <c r="C783" s="4"/>
      <c r="D783" s="4"/>
      <c r="E783" s="4"/>
      <c r="F783" s="416"/>
      <c r="G783" s="4"/>
      <c r="H783" s="4"/>
      <c r="I783" s="4"/>
      <c r="J783" s="64"/>
      <c r="K783" s="4"/>
      <c r="L783" s="3"/>
      <c r="M783" s="196" t="s">
        <v>1059</v>
      </c>
      <c r="N783" s="3">
        <f>R783</f>
        <v>73.400000000000006</v>
      </c>
      <c r="O783" s="3">
        <f t="shared" si="202"/>
        <v>71.5</v>
      </c>
      <c r="P783" s="3"/>
      <c r="Q783" s="3"/>
      <c r="R783" s="3">
        <v>73.400000000000006</v>
      </c>
      <c r="S783" s="3">
        <v>71.5</v>
      </c>
      <c r="T783" s="3"/>
      <c r="U783" s="3"/>
      <c r="V783" s="3"/>
      <c r="W783" s="3"/>
      <c r="X783" s="3">
        <f>Z783</f>
        <v>77</v>
      </c>
      <c r="Y783" s="3"/>
      <c r="Z783" s="3">
        <v>77</v>
      </c>
      <c r="AA783" s="3"/>
      <c r="AB783" s="3"/>
      <c r="AC783" s="3">
        <f>AE783</f>
        <v>77</v>
      </c>
      <c r="AD783" s="3"/>
      <c r="AE783" s="3">
        <v>77</v>
      </c>
      <c r="AF783" s="3"/>
      <c r="AG783" s="3"/>
      <c r="AH783" s="3">
        <f>AJ783</f>
        <v>77</v>
      </c>
      <c r="AI783" s="3"/>
      <c r="AJ783" s="3">
        <v>77</v>
      </c>
      <c r="AK783" s="3"/>
      <c r="AL783" s="3"/>
      <c r="AM783" s="3">
        <f>AO783</f>
        <v>77</v>
      </c>
      <c r="AN783" s="3"/>
      <c r="AO783" s="3">
        <v>77</v>
      </c>
      <c r="AP783" s="3"/>
      <c r="AQ783" s="3"/>
    </row>
    <row r="784" spans="1:43" ht="35.450000000000003" customHeight="1">
      <c r="A784" s="146" t="s">
        <v>30</v>
      </c>
      <c r="B784" s="206"/>
      <c r="C784" s="71"/>
      <c r="D784" s="3"/>
      <c r="E784" s="3"/>
      <c r="F784" s="87"/>
      <c r="G784" s="87"/>
      <c r="H784" s="87"/>
      <c r="I784" s="87"/>
      <c r="J784" s="3"/>
      <c r="K784" s="3"/>
      <c r="L784" s="3"/>
      <c r="M784" s="196" t="s">
        <v>1060</v>
      </c>
      <c r="N784" s="3">
        <f>P784+R784+T784+V784</f>
        <v>106.8</v>
      </c>
      <c r="O784" s="3">
        <f t="shared" si="202"/>
        <v>106.8</v>
      </c>
      <c r="P784" s="3"/>
      <c r="Q784" s="3"/>
      <c r="R784" s="3">
        <v>106.8</v>
      </c>
      <c r="S784" s="3">
        <v>106.8</v>
      </c>
      <c r="T784" s="3"/>
      <c r="U784" s="3"/>
      <c r="V784" s="3"/>
      <c r="W784" s="3"/>
      <c r="X784" s="3">
        <f>Y784+Z784+AA784+AB784</f>
        <v>111.7</v>
      </c>
      <c r="Y784" s="3"/>
      <c r="Z784" s="3">
        <f>95+16.7</f>
        <v>111.7</v>
      </c>
      <c r="AA784" s="3"/>
      <c r="AB784" s="3"/>
      <c r="AC784" s="3">
        <f>AD784+AE784+AF784+AG784</f>
        <v>95</v>
      </c>
      <c r="AD784" s="3"/>
      <c r="AE784" s="3">
        <v>95</v>
      </c>
      <c r="AF784" s="3"/>
      <c r="AG784" s="3"/>
      <c r="AH784" s="3">
        <f>AI784+AJ784+AK784+AL784</f>
        <v>106.3</v>
      </c>
      <c r="AI784" s="3"/>
      <c r="AJ784" s="3">
        <v>106.3</v>
      </c>
      <c r="AK784" s="3"/>
      <c r="AL784" s="3"/>
      <c r="AM784" s="3">
        <f>AN784+AO784+AP784+AQ784</f>
        <v>106.3</v>
      </c>
      <c r="AN784" s="3"/>
      <c r="AO784" s="3">
        <v>106.3</v>
      </c>
      <c r="AP784" s="3"/>
      <c r="AQ784" s="3"/>
    </row>
    <row r="785" spans="1:43" ht="35.450000000000003" customHeight="1">
      <c r="A785" s="146" t="s">
        <v>30</v>
      </c>
      <c r="B785" s="206"/>
      <c r="C785" s="71"/>
      <c r="D785" s="3"/>
      <c r="E785" s="3"/>
      <c r="F785" s="87"/>
      <c r="G785" s="87"/>
      <c r="H785" s="87"/>
      <c r="I785" s="87"/>
      <c r="J785" s="3"/>
      <c r="K785" s="3"/>
      <c r="L785" s="3"/>
      <c r="M785" s="196" t="s">
        <v>1061</v>
      </c>
      <c r="N785" s="3">
        <f>P785+R785+T785+V785</f>
        <v>13.9</v>
      </c>
      <c r="O785" s="3">
        <f t="shared" si="202"/>
        <v>13.9</v>
      </c>
      <c r="P785" s="3"/>
      <c r="Q785" s="3"/>
      <c r="R785" s="3">
        <v>13.9</v>
      </c>
      <c r="S785" s="3">
        <v>13.9</v>
      </c>
      <c r="T785" s="3"/>
      <c r="U785" s="3"/>
      <c r="V785" s="3"/>
      <c r="W785" s="3"/>
      <c r="X785" s="3">
        <f>Y785+Z785+AA785+AB785</f>
        <v>12.5</v>
      </c>
      <c r="Y785" s="3"/>
      <c r="Z785" s="3">
        <v>12.5</v>
      </c>
      <c r="AA785" s="3"/>
      <c r="AB785" s="3"/>
      <c r="AC785" s="3">
        <f>AD785+AE785+AF785+AG785</f>
        <v>11.9</v>
      </c>
      <c r="AD785" s="3"/>
      <c r="AE785" s="3">
        <v>11.9</v>
      </c>
      <c r="AF785" s="3"/>
      <c r="AG785" s="3"/>
      <c r="AH785" s="3">
        <f>AI785+AJ785+AK785+AL785</f>
        <v>11.9</v>
      </c>
      <c r="AI785" s="3"/>
      <c r="AJ785" s="3">
        <v>11.9</v>
      </c>
      <c r="AK785" s="3"/>
      <c r="AL785" s="3"/>
      <c r="AM785" s="3">
        <f>AN785+AO785+AP785+AQ785</f>
        <v>11.9</v>
      </c>
      <c r="AN785" s="3"/>
      <c r="AO785" s="3">
        <v>11.9</v>
      </c>
      <c r="AP785" s="3"/>
      <c r="AQ785" s="3"/>
    </row>
    <row r="786" spans="1:43" ht="35.450000000000003" customHeight="1" thickBot="1">
      <c r="A786" s="72" t="s">
        <v>256</v>
      </c>
      <c r="B786" s="156"/>
      <c r="C786" s="84"/>
      <c r="D786" s="84"/>
      <c r="E786" s="84"/>
      <c r="F786" s="195" t="s">
        <v>1062</v>
      </c>
      <c r="G786" s="84"/>
      <c r="H786" s="84" t="s">
        <v>1063</v>
      </c>
      <c r="I786" s="4"/>
      <c r="J786" s="64"/>
      <c r="K786" s="4"/>
      <c r="L786" s="3"/>
      <c r="M786" s="196" t="s">
        <v>1064</v>
      </c>
      <c r="N786" s="3">
        <f>R786</f>
        <v>16.8</v>
      </c>
      <c r="O786" s="3">
        <f t="shared" si="202"/>
        <v>16.8</v>
      </c>
      <c r="P786" s="3"/>
      <c r="Q786" s="3"/>
      <c r="R786" s="3">
        <f>15.1+1.7</f>
        <v>16.8</v>
      </c>
      <c r="S786" s="3">
        <v>16.8</v>
      </c>
      <c r="T786" s="3"/>
      <c r="U786" s="3"/>
      <c r="V786" s="3"/>
      <c r="W786" s="3"/>
      <c r="X786" s="3">
        <f>Z786</f>
        <v>26.9</v>
      </c>
      <c r="Y786" s="3"/>
      <c r="Z786" s="3">
        <f>15.1+8.8+3</f>
        <v>26.9</v>
      </c>
      <c r="AA786" s="3"/>
      <c r="AB786" s="3"/>
      <c r="AC786" s="3">
        <f>AE786</f>
        <v>15.1</v>
      </c>
      <c r="AD786" s="3"/>
      <c r="AE786" s="3">
        <v>15.1</v>
      </c>
      <c r="AF786" s="3"/>
      <c r="AG786" s="3"/>
      <c r="AH786" s="3">
        <f>AJ786</f>
        <v>15.1</v>
      </c>
      <c r="AI786" s="3"/>
      <c r="AJ786" s="3">
        <v>15.1</v>
      </c>
      <c r="AK786" s="3"/>
      <c r="AL786" s="3"/>
      <c r="AM786" s="3">
        <f>AO786</f>
        <v>15.1</v>
      </c>
      <c r="AN786" s="3"/>
      <c r="AO786" s="3">
        <v>15.1</v>
      </c>
      <c r="AP786" s="3"/>
      <c r="AQ786" s="3"/>
    </row>
    <row r="787" spans="1:43" ht="35.450000000000003" customHeight="1" thickBot="1">
      <c r="A787" s="72" t="s">
        <v>869</v>
      </c>
      <c r="B787" s="156"/>
      <c r="C787" s="4"/>
      <c r="D787" s="4"/>
      <c r="E787" s="4"/>
      <c r="F787" s="416"/>
      <c r="G787" s="4"/>
      <c r="H787" s="4"/>
      <c r="I787" s="4"/>
      <c r="J787" s="64"/>
      <c r="K787" s="4"/>
      <c r="L787" s="3"/>
      <c r="M787" s="196" t="s">
        <v>1065</v>
      </c>
      <c r="N787" s="3">
        <f>R787</f>
        <v>35.299999999999997</v>
      </c>
      <c r="O787" s="3">
        <f t="shared" si="202"/>
        <v>32.799999999999997</v>
      </c>
      <c r="P787" s="3"/>
      <c r="Q787" s="3"/>
      <c r="R787" s="3">
        <f>50.4-15.1</f>
        <v>35.299999999999997</v>
      </c>
      <c r="S787" s="3">
        <v>32.799999999999997</v>
      </c>
      <c r="T787" s="3"/>
      <c r="U787" s="3"/>
      <c r="V787" s="3"/>
      <c r="W787" s="3"/>
      <c r="X787" s="3">
        <f>Z787</f>
        <v>38.599999999999994</v>
      </c>
      <c r="Y787" s="3"/>
      <c r="Z787" s="3">
        <f>35.3+3.3</f>
        <v>38.599999999999994</v>
      </c>
      <c r="AA787" s="3"/>
      <c r="AB787" s="3"/>
      <c r="AC787" s="3">
        <f>AE787</f>
        <v>35.299999999999997</v>
      </c>
      <c r="AD787" s="3"/>
      <c r="AE787" s="3">
        <v>35.299999999999997</v>
      </c>
      <c r="AF787" s="3"/>
      <c r="AG787" s="3"/>
      <c r="AH787" s="3">
        <f>AJ787</f>
        <v>35.299999999999997</v>
      </c>
      <c r="AI787" s="3"/>
      <c r="AJ787" s="3">
        <v>35.299999999999997</v>
      </c>
      <c r="AK787" s="3"/>
      <c r="AL787" s="3"/>
      <c r="AM787" s="3">
        <f>AO787</f>
        <v>35.299999999999997</v>
      </c>
      <c r="AN787" s="3"/>
      <c r="AO787" s="3">
        <v>35.299999999999997</v>
      </c>
      <c r="AP787" s="3"/>
      <c r="AQ787" s="3"/>
    </row>
    <row r="788" spans="1:43" ht="35.450000000000003" customHeight="1" thickBot="1">
      <c r="A788" s="72" t="s">
        <v>869</v>
      </c>
      <c r="B788" s="156"/>
      <c r="C788" s="4"/>
      <c r="D788" s="4"/>
      <c r="E788" s="4"/>
      <c r="F788" s="416"/>
      <c r="G788" s="4"/>
      <c r="H788" s="4"/>
      <c r="I788" s="4"/>
      <c r="J788" s="64"/>
      <c r="K788" s="4"/>
      <c r="L788" s="3"/>
      <c r="M788" s="196" t="s">
        <v>1066</v>
      </c>
      <c r="N788" s="3">
        <f>R788</f>
        <v>5.6</v>
      </c>
      <c r="O788" s="3">
        <f t="shared" si="202"/>
        <v>5.6</v>
      </c>
      <c r="P788" s="3"/>
      <c r="Q788" s="3"/>
      <c r="R788" s="3">
        <v>5.6</v>
      </c>
      <c r="S788" s="3">
        <v>5.6</v>
      </c>
      <c r="T788" s="3"/>
      <c r="U788" s="3"/>
      <c r="V788" s="3"/>
      <c r="W788" s="3"/>
      <c r="X788" s="3">
        <f>Z788</f>
        <v>6</v>
      </c>
      <c r="Y788" s="3"/>
      <c r="Z788" s="3">
        <v>6</v>
      </c>
      <c r="AA788" s="3"/>
      <c r="AB788" s="3"/>
      <c r="AC788" s="3">
        <f>AE788</f>
        <v>6</v>
      </c>
      <c r="AD788" s="3"/>
      <c r="AE788" s="3">
        <v>6</v>
      </c>
      <c r="AF788" s="3"/>
      <c r="AG788" s="3"/>
      <c r="AH788" s="3">
        <f>AJ788</f>
        <v>6</v>
      </c>
      <c r="AI788" s="3"/>
      <c r="AJ788" s="3">
        <v>6</v>
      </c>
      <c r="AK788" s="3"/>
      <c r="AL788" s="3"/>
      <c r="AM788" s="3">
        <f>AO788</f>
        <v>6</v>
      </c>
      <c r="AN788" s="3"/>
      <c r="AO788" s="3">
        <v>6</v>
      </c>
      <c r="AP788" s="3"/>
      <c r="AQ788" s="3"/>
    </row>
    <row r="789" spans="1:43" ht="35.450000000000003" customHeight="1" thickBot="1">
      <c r="A789" s="72" t="s">
        <v>256</v>
      </c>
      <c r="B789" s="156"/>
      <c r="C789" s="4"/>
      <c r="D789" s="4"/>
      <c r="E789" s="4"/>
      <c r="F789" s="416"/>
      <c r="G789" s="4"/>
      <c r="H789" s="4"/>
      <c r="I789" s="4"/>
      <c r="J789" s="64"/>
      <c r="K789" s="4"/>
      <c r="L789" s="3"/>
      <c r="M789" s="196"/>
      <c r="N789" s="3">
        <f>R789</f>
        <v>0</v>
      </c>
      <c r="O789" s="3">
        <f t="shared" si="202"/>
        <v>0</v>
      </c>
      <c r="P789" s="3"/>
      <c r="Q789" s="3"/>
      <c r="R789" s="3"/>
      <c r="S789" s="3"/>
      <c r="T789" s="3"/>
      <c r="U789" s="3"/>
      <c r="V789" s="3"/>
      <c r="W789" s="3"/>
      <c r="X789" s="3">
        <f>Z789</f>
        <v>0</v>
      </c>
      <c r="Y789" s="3"/>
      <c r="Z789" s="3"/>
      <c r="AA789" s="3"/>
      <c r="AB789" s="3"/>
      <c r="AC789" s="3">
        <f>AE789</f>
        <v>0</v>
      </c>
      <c r="AD789" s="3"/>
      <c r="AE789" s="3"/>
      <c r="AF789" s="3"/>
      <c r="AG789" s="3"/>
      <c r="AH789" s="3">
        <f>AJ789</f>
        <v>0</v>
      </c>
      <c r="AI789" s="3"/>
      <c r="AJ789" s="3"/>
      <c r="AK789" s="3"/>
      <c r="AL789" s="3"/>
      <c r="AM789" s="3">
        <f>AO789</f>
        <v>0</v>
      </c>
      <c r="AN789" s="3"/>
      <c r="AO789" s="3"/>
      <c r="AP789" s="3"/>
      <c r="AQ789" s="3"/>
    </row>
    <row r="790" spans="1:43" ht="35.450000000000003" customHeight="1" thickBot="1">
      <c r="A790" s="72" t="s">
        <v>483</v>
      </c>
      <c r="B790" s="194"/>
      <c r="C790" s="131" t="s">
        <v>1067</v>
      </c>
      <c r="D790" s="4" t="s">
        <v>1068</v>
      </c>
      <c r="E790" s="4" t="s">
        <v>1069</v>
      </c>
      <c r="F790" s="4" t="s">
        <v>1070</v>
      </c>
      <c r="G790" s="4" t="s">
        <v>277</v>
      </c>
      <c r="H790" s="4" t="s">
        <v>1071</v>
      </c>
      <c r="I790" s="302" t="s">
        <v>1072</v>
      </c>
      <c r="J790" s="4" t="s">
        <v>277</v>
      </c>
      <c r="K790" s="4"/>
      <c r="L790" s="3"/>
      <c r="M790" s="196" t="s">
        <v>1073</v>
      </c>
      <c r="N790" s="3">
        <f>P790+R790+T790+V790</f>
        <v>39.700000000000003</v>
      </c>
      <c r="O790" s="3">
        <f t="shared" si="202"/>
        <v>33.4</v>
      </c>
      <c r="P790" s="3"/>
      <c r="Q790" s="3"/>
      <c r="R790" s="3">
        <v>39.700000000000003</v>
      </c>
      <c r="S790" s="3">
        <v>33.4</v>
      </c>
      <c r="T790" s="3"/>
      <c r="U790" s="3"/>
      <c r="V790" s="3"/>
      <c r="W790" s="3"/>
      <c r="X790" s="3">
        <f>Y790+Z790+AA790+AB790</f>
        <v>46.5</v>
      </c>
      <c r="Y790" s="3"/>
      <c r="Z790" s="3">
        <f>39.7+6.8</f>
        <v>46.5</v>
      </c>
      <c r="AA790" s="3"/>
      <c r="AB790" s="3"/>
      <c r="AC790" s="3">
        <f>AD790+AE790+AF790+AG790</f>
        <v>39.700000000000003</v>
      </c>
      <c r="AD790" s="3"/>
      <c r="AE790" s="3">
        <v>39.700000000000003</v>
      </c>
      <c r="AF790" s="3"/>
      <c r="AG790" s="3"/>
      <c r="AH790" s="3">
        <f t="shared" si="205"/>
        <v>39.700000000000003</v>
      </c>
      <c r="AI790" s="3"/>
      <c r="AJ790" s="3">
        <v>39.700000000000003</v>
      </c>
      <c r="AK790" s="3"/>
      <c r="AL790" s="3"/>
      <c r="AM790" s="3">
        <f>AN790+AO790+AP790+AQ790</f>
        <v>39.700000000000003</v>
      </c>
      <c r="AN790" s="3"/>
      <c r="AO790" s="3">
        <v>39.700000000000003</v>
      </c>
      <c r="AP790" s="3"/>
      <c r="AQ790" s="3"/>
    </row>
    <row r="791" spans="1:43" ht="35.450000000000003" customHeight="1">
      <c r="A791" s="74" t="s">
        <v>483</v>
      </c>
      <c r="B791" s="417"/>
      <c r="C791" s="418"/>
      <c r="D791" s="154"/>
      <c r="E791" s="154"/>
      <c r="F791" s="4" t="s">
        <v>1074</v>
      </c>
      <c r="G791" s="154"/>
      <c r="H791" s="154"/>
      <c r="I791" s="301"/>
      <c r="J791" s="154"/>
      <c r="K791" s="154"/>
      <c r="L791" s="141"/>
      <c r="M791" s="419" t="s">
        <v>1075</v>
      </c>
      <c r="N791" s="141">
        <f>P791+R791+T791+V791</f>
        <v>28.8</v>
      </c>
      <c r="O791" s="3">
        <f t="shared" si="202"/>
        <v>28.8</v>
      </c>
      <c r="P791" s="141"/>
      <c r="Q791" s="141"/>
      <c r="R791" s="141">
        <v>28.8</v>
      </c>
      <c r="S791" s="141">
        <v>28.8</v>
      </c>
      <c r="T791" s="141"/>
      <c r="U791" s="141"/>
      <c r="V791" s="141"/>
      <c r="W791" s="141"/>
      <c r="X791" s="141">
        <f>Y791+Z791+AA791+AB791</f>
        <v>30.3</v>
      </c>
      <c r="Y791" s="141"/>
      <c r="Z791" s="141">
        <v>30.3</v>
      </c>
      <c r="AA791" s="141"/>
      <c r="AB791" s="141"/>
      <c r="AC791" s="141">
        <f>AD791+AE791+AF791+AG791</f>
        <v>30.3</v>
      </c>
      <c r="AD791" s="141"/>
      <c r="AE791" s="141">
        <v>30.3</v>
      </c>
      <c r="AF791" s="141"/>
      <c r="AG791" s="141"/>
      <c r="AH791" s="141">
        <f t="shared" si="205"/>
        <v>30.3</v>
      </c>
      <c r="AI791" s="141"/>
      <c r="AJ791" s="141">
        <v>30.3</v>
      </c>
      <c r="AK791" s="141"/>
      <c r="AL791" s="141"/>
      <c r="AM791" s="141">
        <f>AN791+AO791+AP791+AQ791</f>
        <v>30.3</v>
      </c>
      <c r="AN791" s="141"/>
      <c r="AO791" s="141">
        <v>30.3</v>
      </c>
      <c r="AP791" s="141"/>
      <c r="AQ791" s="141"/>
    </row>
    <row r="792" spans="1:43" ht="35.450000000000003" customHeight="1">
      <c r="A792" s="146" t="s">
        <v>869</v>
      </c>
      <c r="B792" s="75"/>
      <c r="C792" s="4" t="s">
        <v>1076</v>
      </c>
      <c r="D792" s="64" t="s">
        <v>277</v>
      </c>
      <c r="E792" s="64" t="s">
        <v>1077</v>
      </c>
      <c r="F792" s="4" t="s">
        <v>1078</v>
      </c>
      <c r="G792" s="4"/>
      <c r="H792" s="4"/>
      <c r="I792" s="4" t="s">
        <v>1079</v>
      </c>
      <c r="J792" s="64" t="s">
        <v>277</v>
      </c>
      <c r="K792" s="4"/>
      <c r="L792" s="3"/>
      <c r="M792" s="87" t="s">
        <v>1080</v>
      </c>
      <c r="N792" s="3">
        <f>P792+R792+T792+V792</f>
        <v>809.3</v>
      </c>
      <c r="O792" s="3">
        <f t="shared" si="202"/>
        <v>800.5</v>
      </c>
      <c r="P792" s="3"/>
      <c r="Q792" s="3"/>
      <c r="R792" s="3">
        <f>883.4-6.9-67.2</f>
        <v>809.3</v>
      </c>
      <c r="S792" s="3">
        <v>800.5</v>
      </c>
      <c r="T792" s="3"/>
      <c r="U792" s="3"/>
      <c r="V792" s="3"/>
      <c r="W792" s="3"/>
      <c r="X792" s="3">
        <f>Y792+Z792+AA792+AB792</f>
        <v>1041.3</v>
      </c>
      <c r="Y792" s="3"/>
      <c r="Z792" s="3">
        <f>883.3+155.6+2.4</f>
        <v>1041.3</v>
      </c>
      <c r="AA792" s="3"/>
      <c r="AB792" s="3"/>
      <c r="AC792" s="3">
        <f>AD792+AE792+AF792+AG792</f>
        <v>883.3</v>
      </c>
      <c r="AD792" s="3"/>
      <c r="AE792" s="3">
        <v>883.3</v>
      </c>
      <c r="AF792" s="3"/>
      <c r="AG792" s="3"/>
      <c r="AH792" s="3">
        <f t="shared" si="205"/>
        <v>883.3</v>
      </c>
      <c r="AI792" s="3"/>
      <c r="AJ792" s="3">
        <v>883.3</v>
      </c>
      <c r="AK792" s="3"/>
      <c r="AL792" s="3"/>
      <c r="AM792" s="3">
        <f>AN792+AO792+AP792+AQ792</f>
        <v>883.3</v>
      </c>
      <c r="AN792" s="3"/>
      <c r="AO792" s="3">
        <v>883.3</v>
      </c>
      <c r="AP792" s="3"/>
      <c r="AQ792" s="3"/>
    </row>
    <row r="793" spans="1:43" ht="35.450000000000003" customHeight="1">
      <c r="A793" s="146" t="s">
        <v>869</v>
      </c>
      <c r="B793" s="75"/>
      <c r="C793" s="4"/>
      <c r="D793" s="64"/>
      <c r="E793" s="64"/>
      <c r="F793" s="4"/>
      <c r="G793" s="4"/>
      <c r="H793" s="4"/>
      <c r="I793" s="4"/>
      <c r="J793" s="64"/>
      <c r="K793" s="4"/>
      <c r="L793" s="3"/>
      <c r="M793" s="87" t="s">
        <v>1081</v>
      </c>
      <c r="N793" s="3">
        <f>P793+R793+T793+V793</f>
        <v>662.5</v>
      </c>
      <c r="O793" s="3">
        <f t="shared" si="202"/>
        <v>659.6</v>
      </c>
      <c r="P793" s="3"/>
      <c r="Q793" s="3"/>
      <c r="R793" s="3">
        <v>662.5</v>
      </c>
      <c r="S793" s="3">
        <v>659.6</v>
      </c>
      <c r="T793" s="3"/>
      <c r="U793" s="3"/>
      <c r="V793" s="3"/>
      <c r="W793" s="3"/>
      <c r="X793" s="3">
        <f>Y793+Z793+AA793+AB793</f>
        <v>693.30000000000007</v>
      </c>
      <c r="Y793" s="3"/>
      <c r="Z793" s="3">
        <f>695.7-2.4</f>
        <v>693.30000000000007</v>
      </c>
      <c r="AA793" s="3"/>
      <c r="AB793" s="3"/>
      <c r="AC793" s="3">
        <f>AD793+AE793+AF793+AG793</f>
        <v>695.7</v>
      </c>
      <c r="AD793" s="3"/>
      <c r="AE793" s="3">
        <v>695.7</v>
      </c>
      <c r="AF793" s="3"/>
      <c r="AG793" s="3"/>
      <c r="AH793" s="3">
        <f t="shared" si="205"/>
        <v>695.7</v>
      </c>
      <c r="AI793" s="3"/>
      <c r="AJ793" s="3">
        <v>695.7</v>
      </c>
      <c r="AK793" s="3"/>
      <c r="AL793" s="3"/>
      <c r="AM793" s="3">
        <f>AN793+AO793+AP793+AQ793</f>
        <v>695.7</v>
      </c>
      <c r="AN793" s="3"/>
      <c r="AO793" s="3">
        <v>695.7</v>
      </c>
      <c r="AP793" s="3"/>
      <c r="AQ793" s="3"/>
    </row>
    <row r="794" spans="1:43" ht="35.450000000000003" customHeight="1">
      <c r="A794" s="146" t="s">
        <v>869</v>
      </c>
      <c r="B794" s="415"/>
      <c r="C794" s="4"/>
      <c r="D794" s="64"/>
      <c r="E794" s="64"/>
      <c r="F794" s="4"/>
      <c r="G794" s="4"/>
      <c r="H794" s="4"/>
      <c r="I794" s="4"/>
      <c r="J794" s="64"/>
      <c r="K794" s="4"/>
      <c r="L794" s="158"/>
      <c r="M794" s="87" t="s">
        <v>1082</v>
      </c>
      <c r="N794" s="158">
        <f>P794+R794+T794+V794</f>
        <v>0</v>
      </c>
      <c r="O794" s="3">
        <f t="shared" si="202"/>
        <v>0</v>
      </c>
      <c r="P794" s="158"/>
      <c r="Q794" s="158"/>
      <c r="R794" s="158"/>
      <c r="S794" s="158"/>
      <c r="T794" s="158"/>
      <c r="U794" s="158"/>
      <c r="V794" s="158"/>
      <c r="W794" s="158"/>
      <c r="X794" s="158">
        <f>Y794+Z794+AA794+AB794</f>
        <v>0</v>
      </c>
      <c r="Y794" s="158"/>
      <c r="Z794" s="158"/>
      <c r="AA794" s="158"/>
      <c r="AB794" s="158"/>
      <c r="AC794" s="158">
        <f>AD794+AE794+AF794+AG794</f>
        <v>0</v>
      </c>
      <c r="AD794" s="158"/>
      <c r="AE794" s="158"/>
      <c r="AF794" s="158"/>
      <c r="AG794" s="158"/>
      <c r="AH794" s="158">
        <f t="shared" si="205"/>
        <v>0</v>
      </c>
      <c r="AI794" s="158"/>
      <c r="AJ794" s="158"/>
      <c r="AK794" s="158"/>
      <c r="AL794" s="158"/>
      <c r="AM794" s="158">
        <f>AN794+AO794+AP794+AQ794</f>
        <v>0</v>
      </c>
      <c r="AN794" s="158"/>
      <c r="AO794" s="158"/>
      <c r="AP794" s="158"/>
      <c r="AQ794" s="158"/>
    </row>
    <row r="795" spans="1:43" ht="35.450000000000003" customHeight="1">
      <c r="A795" s="332" t="s">
        <v>1083</v>
      </c>
      <c r="B795" s="363">
        <v>3202</v>
      </c>
      <c r="C795" s="183"/>
      <c r="D795" s="184"/>
      <c r="E795" s="184"/>
      <c r="F795" s="184"/>
      <c r="G795" s="184"/>
      <c r="H795" s="184"/>
      <c r="I795" s="184"/>
      <c r="J795" s="184"/>
      <c r="K795" s="184"/>
      <c r="L795" s="184">
        <v>1</v>
      </c>
      <c r="M795" s="87"/>
      <c r="N795" s="126">
        <f>N796+N797+N798+N803+N804+N799+N800+N802+N801</f>
        <v>5587.9</v>
      </c>
      <c r="O795" s="126">
        <f t="shared" ref="O795:V795" si="207">O796+O797+O798+O803+O804+O799+O800+O802+O801</f>
        <v>5406.7000000000007</v>
      </c>
      <c r="P795" s="126">
        <f t="shared" si="207"/>
        <v>0</v>
      </c>
      <c r="Q795" s="126">
        <f t="shared" si="207"/>
        <v>0</v>
      </c>
      <c r="R795" s="126">
        <f t="shared" si="207"/>
        <v>5587.9</v>
      </c>
      <c r="S795" s="126">
        <f t="shared" si="207"/>
        <v>5406.7000000000007</v>
      </c>
      <c r="T795" s="126">
        <f t="shared" si="207"/>
        <v>0</v>
      </c>
      <c r="U795" s="126">
        <f t="shared" si="207"/>
        <v>0</v>
      </c>
      <c r="V795" s="126">
        <f t="shared" si="207"/>
        <v>0</v>
      </c>
      <c r="W795" s="126"/>
      <c r="X795" s="126">
        <f t="shared" ref="X795:AQ795" si="208">X796+X797+X798+X803+X804+X799+X800+X802+X801</f>
        <v>7111.0999999999995</v>
      </c>
      <c r="Y795" s="126">
        <f t="shared" si="208"/>
        <v>0</v>
      </c>
      <c r="Z795" s="126">
        <f t="shared" si="208"/>
        <v>7111.0999999999995</v>
      </c>
      <c r="AA795" s="126">
        <f t="shared" si="208"/>
        <v>0</v>
      </c>
      <c r="AB795" s="126">
        <f t="shared" si="208"/>
        <v>0</v>
      </c>
      <c r="AC795" s="126">
        <f t="shared" si="208"/>
        <v>5782.9</v>
      </c>
      <c r="AD795" s="126">
        <f t="shared" si="208"/>
        <v>0</v>
      </c>
      <c r="AE795" s="126">
        <f t="shared" si="208"/>
        <v>5782.9</v>
      </c>
      <c r="AF795" s="126">
        <f t="shared" si="208"/>
        <v>0</v>
      </c>
      <c r="AG795" s="126">
        <f t="shared" si="208"/>
        <v>0</v>
      </c>
      <c r="AH795" s="126">
        <f t="shared" si="208"/>
        <v>5820.6</v>
      </c>
      <c r="AI795" s="126">
        <f t="shared" si="208"/>
        <v>0</v>
      </c>
      <c r="AJ795" s="126">
        <f t="shared" si="208"/>
        <v>5820.6</v>
      </c>
      <c r="AK795" s="126">
        <f t="shared" si="208"/>
        <v>0</v>
      </c>
      <c r="AL795" s="126">
        <f t="shared" si="208"/>
        <v>0</v>
      </c>
      <c r="AM795" s="126">
        <f t="shared" si="208"/>
        <v>5820.6</v>
      </c>
      <c r="AN795" s="126">
        <f t="shared" si="208"/>
        <v>0</v>
      </c>
      <c r="AO795" s="126">
        <f t="shared" si="208"/>
        <v>5820.6</v>
      </c>
      <c r="AP795" s="126">
        <f t="shared" si="208"/>
        <v>0</v>
      </c>
      <c r="AQ795" s="126">
        <f t="shared" si="208"/>
        <v>0</v>
      </c>
    </row>
    <row r="796" spans="1:43" ht="35.450000000000003" customHeight="1">
      <c r="A796" s="146" t="s">
        <v>30</v>
      </c>
      <c r="B796" s="318"/>
      <c r="C796" s="84" t="s">
        <v>962</v>
      </c>
      <c r="D796" s="84" t="s">
        <v>1034</v>
      </c>
      <c r="E796" s="84" t="s">
        <v>964</v>
      </c>
      <c r="F796" s="84" t="s">
        <v>1035</v>
      </c>
      <c r="G796" s="84" t="s">
        <v>19</v>
      </c>
      <c r="H796" s="84" t="s">
        <v>1036</v>
      </c>
      <c r="I796" s="131" t="s">
        <v>1037</v>
      </c>
      <c r="J796" s="3"/>
      <c r="K796" s="3"/>
      <c r="L796" s="3"/>
      <c r="M796" s="196" t="s">
        <v>1084</v>
      </c>
      <c r="N796" s="3">
        <f>P796+R796+T796+V796</f>
        <v>51.2</v>
      </c>
      <c r="O796" s="3">
        <f>Q796+S796</f>
        <v>51.2</v>
      </c>
      <c r="P796" s="3"/>
      <c r="Q796" s="3"/>
      <c r="R796" s="3">
        <v>51.2</v>
      </c>
      <c r="S796" s="3">
        <v>51.2</v>
      </c>
      <c r="T796" s="3"/>
      <c r="U796" s="3"/>
      <c r="V796" s="3"/>
      <c r="W796" s="3"/>
      <c r="X796" s="3">
        <f>Y796+Z796+AA796+AB796</f>
        <v>60.2</v>
      </c>
      <c r="Y796" s="3"/>
      <c r="Z796" s="3">
        <f>51.2+9</f>
        <v>60.2</v>
      </c>
      <c r="AA796" s="3"/>
      <c r="AB796" s="3"/>
      <c r="AC796" s="3">
        <f>AD796+AE796+AF796+AG796</f>
        <v>51.2</v>
      </c>
      <c r="AD796" s="3"/>
      <c r="AE796" s="3">
        <v>51.2</v>
      </c>
      <c r="AF796" s="3"/>
      <c r="AG796" s="3"/>
      <c r="AH796" s="3">
        <f>AI796+AJ796+AK796+AL796</f>
        <v>51.2</v>
      </c>
      <c r="AI796" s="3"/>
      <c r="AJ796" s="3">
        <v>51.2</v>
      </c>
      <c r="AK796" s="3"/>
      <c r="AL796" s="3"/>
      <c r="AM796" s="3">
        <f>AN796+AO796+AP796+AQ796</f>
        <v>51.2</v>
      </c>
      <c r="AN796" s="3"/>
      <c r="AO796" s="3">
        <v>51.2</v>
      </c>
      <c r="AP796" s="3"/>
      <c r="AQ796" s="3"/>
    </row>
    <row r="797" spans="1:43" ht="35.450000000000003" customHeight="1">
      <c r="A797" s="146" t="s">
        <v>30</v>
      </c>
      <c r="B797" s="318"/>
      <c r="C797" s="84" t="s">
        <v>962</v>
      </c>
      <c r="D797" s="84" t="s">
        <v>1040</v>
      </c>
      <c r="E797" s="84" t="s">
        <v>964</v>
      </c>
      <c r="F797" s="84" t="s">
        <v>1041</v>
      </c>
      <c r="G797" s="84" t="s">
        <v>19</v>
      </c>
      <c r="H797" s="84" t="s">
        <v>1042</v>
      </c>
      <c r="I797" s="131" t="s">
        <v>1043</v>
      </c>
      <c r="J797" s="3"/>
      <c r="K797" s="3"/>
      <c r="L797" s="3"/>
      <c r="M797" s="196" t="s">
        <v>1085</v>
      </c>
      <c r="N797" s="3">
        <f>P797+R797+T797+V797</f>
        <v>700</v>
      </c>
      <c r="O797" s="3">
        <f t="shared" ref="O797:O804" si="209">Q797+S797</f>
        <v>698.7</v>
      </c>
      <c r="P797" s="3"/>
      <c r="Q797" s="3"/>
      <c r="R797" s="3">
        <f>731.4-31.3-0.1</f>
        <v>700</v>
      </c>
      <c r="S797" s="3">
        <v>698.7</v>
      </c>
      <c r="T797" s="3"/>
      <c r="U797" s="3"/>
      <c r="V797" s="3"/>
      <c r="W797" s="3"/>
      <c r="X797" s="3">
        <f>Y797+Z797+AA797+AB797</f>
        <v>860.09999999999991</v>
      </c>
      <c r="Y797" s="3"/>
      <c r="Z797" s="3">
        <f>731.3+128.8</f>
        <v>860.09999999999991</v>
      </c>
      <c r="AA797" s="3"/>
      <c r="AB797" s="3"/>
      <c r="AC797" s="3">
        <f>AD797+AE797+AF797+AG797</f>
        <v>731.3</v>
      </c>
      <c r="AD797" s="3"/>
      <c r="AE797" s="3">
        <v>731.3</v>
      </c>
      <c r="AF797" s="3"/>
      <c r="AG797" s="3"/>
      <c r="AH797" s="3">
        <f t="shared" ref="AH797:AH804" si="210">AI797+AJ797+AK797+AL797</f>
        <v>731.3</v>
      </c>
      <c r="AI797" s="3"/>
      <c r="AJ797" s="3">
        <v>731.3</v>
      </c>
      <c r="AK797" s="3"/>
      <c r="AL797" s="3"/>
      <c r="AM797" s="3">
        <f>AN797+AO797+AP797+AQ797</f>
        <v>731.3</v>
      </c>
      <c r="AN797" s="3"/>
      <c r="AO797" s="3">
        <v>731.3</v>
      </c>
      <c r="AP797" s="3"/>
      <c r="AQ797" s="3"/>
    </row>
    <row r="798" spans="1:43" ht="35.450000000000003" customHeight="1">
      <c r="A798" s="146" t="s">
        <v>30</v>
      </c>
      <c r="B798" s="318"/>
      <c r="C798" s="84" t="s">
        <v>962</v>
      </c>
      <c r="D798" s="84" t="s">
        <v>1048</v>
      </c>
      <c r="E798" s="84" t="s">
        <v>964</v>
      </c>
      <c r="F798" s="84" t="s">
        <v>1049</v>
      </c>
      <c r="G798" s="84" t="s">
        <v>19</v>
      </c>
      <c r="H798" s="84" t="s">
        <v>1050</v>
      </c>
      <c r="I798" s="131" t="s">
        <v>1051</v>
      </c>
      <c r="J798" s="3"/>
      <c r="K798" s="3"/>
      <c r="L798" s="3"/>
      <c r="M798" s="196" t="s">
        <v>1086</v>
      </c>
      <c r="N798" s="3">
        <f>P798+R798+T798+V798</f>
        <v>737.69999999999993</v>
      </c>
      <c r="O798" s="3">
        <f t="shared" si="209"/>
        <v>737.7</v>
      </c>
      <c r="P798" s="3"/>
      <c r="Q798" s="3"/>
      <c r="R798" s="3">
        <f>731.3+6.4</f>
        <v>737.69999999999993</v>
      </c>
      <c r="S798" s="3">
        <v>737.7</v>
      </c>
      <c r="T798" s="3"/>
      <c r="U798" s="3"/>
      <c r="V798" s="3"/>
      <c r="W798" s="3"/>
      <c r="X798" s="3">
        <f>Y798+Z798+AA798+AB798</f>
        <v>1149</v>
      </c>
      <c r="Y798" s="3"/>
      <c r="Z798" s="3">
        <f>731.3+128.8+288.9</f>
        <v>1149</v>
      </c>
      <c r="AA798" s="3"/>
      <c r="AB798" s="3"/>
      <c r="AC798" s="3">
        <f>AD798+AE798+AF798+AG798</f>
        <v>731.3</v>
      </c>
      <c r="AD798" s="3"/>
      <c r="AE798" s="3">
        <v>731.3</v>
      </c>
      <c r="AF798" s="3"/>
      <c r="AG798" s="3"/>
      <c r="AH798" s="3">
        <f t="shared" si="210"/>
        <v>731.3</v>
      </c>
      <c r="AI798" s="3"/>
      <c r="AJ798" s="3">
        <v>731.3</v>
      </c>
      <c r="AK798" s="3"/>
      <c r="AL798" s="3"/>
      <c r="AM798" s="3">
        <f>AN798+AO798+AP798+AQ798</f>
        <v>731.3</v>
      </c>
      <c r="AN798" s="3"/>
      <c r="AO798" s="3">
        <v>731.3</v>
      </c>
      <c r="AP798" s="3"/>
      <c r="AQ798" s="3"/>
    </row>
    <row r="799" spans="1:43" ht="35.450000000000003" customHeight="1" thickBot="1">
      <c r="A799" s="72" t="s">
        <v>256</v>
      </c>
      <c r="B799" s="80"/>
      <c r="C799" s="84"/>
      <c r="D799" s="84"/>
      <c r="E799" s="84"/>
      <c r="F799" s="84" t="s">
        <v>1056</v>
      </c>
      <c r="G799" s="84" t="s">
        <v>67</v>
      </c>
      <c r="H799" s="84" t="s">
        <v>1057</v>
      </c>
      <c r="I799" s="4"/>
      <c r="J799" s="64"/>
      <c r="K799" s="4"/>
      <c r="L799" s="3"/>
      <c r="M799" s="196" t="s">
        <v>1087</v>
      </c>
      <c r="N799" s="3">
        <f>R799</f>
        <v>731.4</v>
      </c>
      <c r="O799" s="3">
        <f t="shared" si="209"/>
        <v>620.6</v>
      </c>
      <c r="P799" s="3"/>
      <c r="Q799" s="3"/>
      <c r="R799" s="3">
        <v>731.4</v>
      </c>
      <c r="S799" s="3">
        <v>620.6</v>
      </c>
      <c r="T799" s="3"/>
      <c r="U799" s="3"/>
      <c r="V799" s="3"/>
      <c r="W799" s="3"/>
      <c r="X799" s="3">
        <f>Z799</f>
        <v>860.09999999999991</v>
      </c>
      <c r="Y799" s="3"/>
      <c r="Z799" s="3">
        <f>731.3+128.8</f>
        <v>860.09999999999991</v>
      </c>
      <c r="AA799" s="3"/>
      <c r="AB799" s="3"/>
      <c r="AC799" s="3">
        <f>AE799</f>
        <v>731.3</v>
      </c>
      <c r="AD799" s="3"/>
      <c r="AE799" s="3">
        <v>731.3</v>
      </c>
      <c r="AF799" s="3"/>
      <c r="AG799" s="3"/>
      <c r="AH799" s="3">
        <f>AJ799</f>
        <v>731.3</v>
      </c>
      <c r="AI799" s="3"/>
      <c r="AJ799" s="3">
        <v>731.3</v>
      </c>
      <c r="AK799" s="3"/>
      <c r="AL799" s="3"/>
      <c r="AM799" s="3">
        <f>AO799</f>
        <v>731.3</v>
      </c>
      <c r="AN799" s="3"/>
      <c r="AO799" s="3">
        <v>731.3</v>
      </c>
      <c r="AP799" s="3"/>
      <c r="AQ799" s="3"/>
    </row>
    <row r="800" spans="1:43" ht="35.450000000000003" customHeight="1" thickBot="1">
      <c r="A800" s="72" t="s">
        <v>256</v>
      </c>
      <c r="B800" s="156"/>
      <c r="C800" s="84"/>
      <c r="D800" s="84"/>
      <c r="E800" s="84"/>
      <c r="F800" s="195" t="s">
        <v>1062</v>
      </c>
      <c r="G800" s="84"/>
      <c r="H800" s="84" t="s">
        <v>1063</v>
      </c>
      <c r="I800" s="4"/>
      <c r="J800" s="64"/>
      <c r="K800" s="4"/>
      <c r="L800" s="3"/>
      <c r="M800" s="196" t="s">
        <v>1088</v>
      </c>
      <c r="N800" s="3">
        <f>R800</f>
        <v>55.6</v>
      </c>
      <c r="O800" s="3">
        <f t="shared" si="209"/>
        <v>55.6</v>
      </c>
      <c r="P800" s="3"/>
      <c r="Q800" s="3"/>
      <c r="R800" s="3">
        <f>50+5.6</f>
        <v>55.6</v>
      </c>
      <c r="S800" s="3">
        <v>55.6</v>
      </c>
      <c r="T800" s="3"/>
      <c r="U800" s="3"/>
      <c r="V800" s="3"/>
      <c r="W800" s="3"/>
      <c r="X800" s="3">
        <f>Z800</f>
        <v>89.399999999999991</v>
      </c>
      <c r="Y800" s="3"/>
      <c r="Z800" s="3">
        <f>49.9+29.4+10.1</f>
        <v>89.399999999999991</v>
      </c>
      <c r="AA800" s="3"/>
      <c r="AB800" s="3"/>
      <c r="AC800" s="3">
        <f>AE800</f>
        <v>49.9</v>
      </c>
      <c r="AD800" s="3"/>
      <c r="AE800" s="3">
        <v>49.9</v>
      </c>
      <c r="AF800" s="3"/>
      <c r="AG800" s="3"/>
      <c r="AH800" s="3">
        <f>AJ800</f>
        <v>49.9</v>
      </c>
      <c r="AI800" s="3"/>
      <c r="AJ800" s="3">
        <v>49.9</v>
      </c>
      <c r="AK800" s="3"/>
      <c r="AL800" s="3"/>
      <c r="AM800" s="3">
        <f>AO800</f>
        <v>49.9</v>
      </c>
      <c r="AN800" s="3"/>
      <c r="AO800" s="3">
        <v>49.9</v>
      </c>
      <c r="AP800" s="3"/>
      <c r="AQ800" s="3"/>
    </row>
    <row r="801" spans="1:43" ht="35.450000000000003" customHeight="1">
      <c r="A801" s="146" t="s">
        <v>30</v>
      </c>
      <c r="B801" s="206"/>
      <c r="C801" s="71"/>
      <c r="D801" s="3"/>
      <c r="E801" s="3"/>
      <c r="F801" s="87"/>
      <c r="G801" s="87"/>
      <c r="H801" s="87"/>
      <c r="I801" s="87"/>
      <c r="J801" s="3"/>
      <c r="K801" s="3"/>
      <c r="L801" s="3"/>
      <c r="M801" s="196" t="s">
        <v>1089</v>
      </c>
      <c r="N801" s="3">
        <f>P801+R801+T801+V801</f>
        <v>353.7</v>
      </c>
      <c r="O801" s="3">
        <f t="shared" si="209"/>
        <v>353.7</v>
      </c>
      <c r="P801" s="3"/>
      <c r="Q801" s="3"/>
      <c r="R801" s="3">
        <v>353.7</v>
      </c>
      <c r="S801" s="3">
        <v>353.7</v>
      </c>
      <c r="T801" s="3"/>
      <c r="U801" s="3"/>
      <c r="V801" s="3"/>
      <c r="W801" s="3"/>
      <c r="X801" s="3">
        <f>Y801+Z801+AA801+AB801</f>
        <v>369.9</v>
      </c>
      <c r="Y801" s="3"/>
      <c r="Z801" s="3">
        <f>314.4+55.5</f>
        <v>369.9</v>
      </c>
      <c r="AA801" s="3"/>
      <c r="AB801" s="3"/>
      <c r="AC801" s="3">
        <f>AD801+AE801+AF801+AG801</f>
        <v>314.39999999999998</v>
      </c>
      <c r="AD801" s="3"/>
      <c r="AE801" s="3">
        <v>314.39999999999998</v>
      </c>
      <c r="AF801" s="3"/>
      <c r="AG801" s="3"/>
      <c r="AH801" s="3">
        <f>AI801+AJ801+AK801+AL801</f>
        <v>352.1</v>
      </c>
      <c r="AI801" s="3"/>
      <c r="AJ801" s="3">
        <v>352.1</v>
      </c>
      <c r="AK801" s="3"/>
      <c r="AL801" s="3"/>
      <c r="AM801" s="3">
        <f>AN801+AO801+AP801+AQ801</f>
        <v>352.1</v>
      </c>
      <c r="AN801" s="3"/>
      <c r="AO801" s="3">
        <v>352.1</v>
      </c>
      <c r="AP801" s="3"/>
      <c r="AQ801" s="3"/>
    </row>
    <row r="802" spans="1:43" ht="35.450000000000003" customHeight="1">
      <c r="A802" s="292" t="s">
        <v>869</v>
      </c>
      <c r="B802" s="156"/>
      <c r="C802" s="4"/>
      <c r="D802" s="4"/>
      <c r="E802" s="4"/>
      <c r="F802" s="416"/>
      <c r="G802" s="4"/>
      <c r="H802" s="4"/>
      <c r="I802" s="4" t="s">
        <v>1079</v>
      </c>
      <c r="J802" s="64" t="s">
        <v>277</v>
      </c>
      <c r="K802" s="4"/>
      <c r="L802" s="3"/>
      <c r="M802" s="196" t="s">
        <v>1090</v>
      </c>
      <c r="N802" s="3">
        <f>P802+R802+T802+V802</f>
        <v>116.69999999999999</v>
      </c>
      <c r="O802" s="3">
        <f t="shared" si="209"/>
        <v>108.6</v>
      </c>
      <c r="P802" s="3"/>
      <c r="Q802" s="3"/>
      <c r="R802" s="3">
        <f>166.7-50</f>
        <v>116.69999999999999</v>
      </c>
      <c r="S802" s="3">
        <v>108.6</v>
      </c>
      <c r="T802" s="3"/>
      <c r="U802" s="3"/>
      <c r="V802" s="3"/>
      <c r="W802" s="3"/>
      <c r="X802" s="3">
        <f>Y802+Z802+AA802+AB802</f>
        <v>127.8</v>
      </c>
      <c r="Y802" s="3"/>
      <c r="Z802" s="3">
        <f>116.7+11.1</f>
        <v>127.8</v>
      </c>
      <c r="AA802" s="3"/>
      <c r="AB802" s="3"/>
      <c r="AC802" s="3">
        <f>AD802+AE802+AF802+AG802</f>
        <v>116.7</v>
      </c>
      <c r="AD802" s="3"/>
      <c r="AE802" s="3">
        <v>116.7</v>
      </c>
      <c r="AF802" s="3"/>
      <c r="AG802" s="3"/>
      <c r="AH802" s="3">
        <f>AI802+AJ802+AK802+AL802</f>
        <v>116.7</v>
      </c>
      <c r="AI802" s="3"/>
      <c r="AJ802" s="3">
        <v>116.7</v>
      </c>
      <c r="AK802" s="3"/>
      <c r="AL802" s="3"/>
      <c r="AM802" s="3">
        <f>AN802+AO802+AP802+AQ802</f>
        <v>116.7</v>
      </c>
      <c r="AN802" s="3"/>
      <c r="AO802" s="3">
        <v>116.7</v>
      </c>
      <c r="AP802" s="3"/>
      <c r="AQ802" s="3"/>
    </row>
    <row r="803" spans="1:43" ht="35.450000000000003" customHeight="1">
      <c r="A803" s="146" t="s">
        <v>483</v>
      </c>
      <c r="B803" s="318"/>
      <c r="C803" s="131" t="s">
        <v>1067</v>
      </c>
      <c r="D803" s="4" t="s">
        <v>1068</v>
      </c>
      <c r="E803" s="4" t="s">
        <v>1069</v>
      </c>
      <c r="F803" s="4" t="s">
        <v>1070</v>
      </c>
      <c r="G803" s="4" t="s">
        <v>277</v>
      </c>
      <c r="H803" s="4" t="s">
        <v>1071</v>
      </c>
      <c r="I803" s="131" t="s">
        <v>1072</v>
      </c>
      <c r="J803" s="4" t="s">
        <v>277</v>
      </c>
      <c r="K803" s="131"/>
      <c r="L803" s="3"/>
      <c r="M803" s="196" t="s">
        <v>1091</v>
      </c>
      <c r="N803" s="3">
        <f>R803</f>
        <v>131.6</v>
      </c>
      <c r="O803" s="3">
        <f t="shared" si="209"/>
        <v>110.5</v>
      </c>
      <c r="P803" s="3"/>
      <c r="Q803" s="3"/>
      <c r="R803" s="3">
        <v>131.6</v>
      </c>
      <c r="S803" s="3">
        <v>110.5</v>
      </c>
      <c r="T803" s="3"/>
      <c r="U803" s="3"/>
      <c r="V803" s="3"/>
      <c r="W803" s="3"/>
      <c r="X803" s="3">
        <f>Z803</f>
        <v>154</v>
      </c>
      <c r="Y803" s="3"/>
      <c r="Z803" s="3">
        <f>131.5+22.5</f>
        <v>154</v>
      </c>
      <c r="AA803" s="3"/>
      <c r="AB803" s="3"/>
      <c r="AC803" s="3">
        <f>AE803</f>
        <v>131.5</v>
      </c>
      <c r="AD803" s="3"/>
      <c r="AE803" s="3">
        <v>131.5</v>
      </c>
      <c r="AF803" s="3"/>
      <c r="AG803" s="3"/>
      <c r="AH803" s="3">
        <f t="shared" si="210"/>
        <v>131.5</v>
      </c>
      <c r="AI803" s="3"/>
      <c r="AJ803" s="3">
        <v>131.5</v>
      </c>
      <c r="AK803" s="3"/>
      <c r="AL803" s="3"/>
      <c r="AM803" s="3">
        <f>AN803+AO803+AP803+AQ803</f>
        <v>131.5</v>
      </c>
      <c r="AN803" s="3"/>
      <c r="AO803" s="3">
        <v>131.5</v>
      </c>
      <c r="AP803" s="3"/>
      <c r="AQ803" s="3"/>
    </row>
    <row r="804" spans="1:43" ht="35.450000000000003" customHeight="1">
      <c r="A804" s="146" t="s">
        <v>869</v>
      </c>
      <c r="B804" s="318"/>
      <c r="C804" s="4" t="s">
        <v>1076</v>
      </c>
      <c r="D804" s="64" t="s">
        <v>277</v>
      </c>
      <c r="E804" s="64" t="s">
        <v>1077</v>
      </c>
      <c r="F804" s="4" t="s">
        <v>1078</v>
      </c>
      <c r="G804" s="4"/>
      <c r="H804" s="4"/>
      <c r="I804" s="4" t="s">
        <v>1079</v>
      </c>
      <c r="J804" s="64" t="s">
        <v>277</v>
      </c>
      <c r="K804" s="4"/>
      <c r="L804" s="3"/>
      <c r="M804" s="196" t="s">
        <v>1092</v>
      </c>
      <c r="N804" s="3">
        <f>P804+R804+T804+V804</f>
        <v>2710.0000000000005</v>
      </c>
      <c r="O804" s="3">
        <f t="shared" si="209"/>
        <v>2670.1</v>
      </c>
      <c r="P804" s="3"/>
      <c r="Q804" s="3"/>
      <c r="R804" s="3">
        <f>2925.3+6.9-222.2</f>
        <v>2710.0000000000005</v>
      </c>
      <c r="S804" s="3">
        <v>2670.1</v>
      </c>
      <c r="T804" s="3"/>
      <c r="U804" s="3"/>
      <c r="V804" s="3"/>
      <c r="W804" s="3"/>
      <c r="X804" s="3">
        <f>Y804+Z804+AA804+AB804</f>
        <v>3440.6000000000004</v>
      </c>
      <c r="Y804" s="3"/>
      <c r="Z804" s="3">
        <f>2925.3+515.3</f>
        <v>3440.6000000000004</v>
      </c>
      <c r="AA804" s="3"/>
      <c r="AB804" s="3"/>
      <c r="AC804" s="3">
        <f>AD804+AE804+AF804+AG804</f>
        <v>2925.3</v>
      </c>
      <c r="AD804" s="3"/>
      <c r="AE804" s="3">
        <v>2925.3</v>
      </c>
      <c r="AF804" s="3"/>
      <c r="AG804" s="3"/>
      <c r="AH804" s="3">
        <f t="shared" si="210"/>
        <v>2925.3</v>
      </c>
      <c r="AI804" s="3"/>
      <c r="AJ804" s="3">
        <v>2925.3</v>
      </c>
      <c r="AK804" s="3"/>
      <c r="AL804" s="3"/>
      <c r="AM804" s="3">
        <f>AN804+AO804+AP804+AQ804</f>
        <v>2925.3</v>
      </c>
      <c r="AN804" s="3"/>
      <c r="AO804" s="3">
        <v>2925.3</v>
      </c>
      <c r="AP804" s="3"/>
      <c r="AQ804" s="3"/>
    </row>
    <row r="805" spans="1:43" ht="35.450000000000003" customHeight="1">
      <c r="A805" s="142" t="s">
        <v>1093</v>
      </c>
      <c r="B805" s="291">
        <v>3228</v>
      </c>
      <c r="C805" s="78"/>
      <c r="D805" s="5"/>
      <c r="E805" s="5"/>
      <c r="F805" s="5"/>
      <c r="G805" s="5"/>
      <c r="H805" s="5"/>
      <c r="I805" s="5"/>
      <c r="J805" s="5"/>
      <c r="K805" s="5"/>
      <c r="L805" s="5">
        <v>10</v>
      </c>
      <c r="M805" s="196"/>
      <c r="N805" s="5">
        <f t="shared" ref="N805:V805" si="211">N806+N807+N808+N809</f>
        <v>28780.600000000002</v>
      </c>
      <c r="O805" s="5">
        <f t="shared" si="211"/>
        <v>28780.6</v>
      </c>
      <c r="P805" s="5">
        <f t="shared" si="211"/>
        <v>0</v>
      </c>
      <c r="Q805" s="5">
        <f t="shared" si="211"/>
        <v>0</v>
      </c>
      <c r="R805" s="5">
        <f t="shared" si="211"/>
        <v>28780.600000000002</v>
      </c>
      <c r="S805" s="5">
        <f t="shared" si="211"/>
        <v>28780.6</v>
      </c>
      <c r="T805" s="5">
        <f t="shared" si="211"/>
        <v>0</v>
      </c>
      <c r="U805" s="5"/>
      <c r="V805" s="5">
        <f t="shared" si="211"/>
        <v>0</v>
      </c>
      <c r="W805" s="5"/>
      <c r="X805" s="5">
        <f t="shared" ref="X805:AQ805" si="212">X806+X807+X808+X809</f>
        <v>68073.700000000012</v>
      </c>
      <c r="Y805" s="5">
        <f t="shared" si="212"/>
        <v>2535.1</v>
      </c>
      <c r="Z805" s="5">
        <f t="shared" si="212"/>
        <v>65538.600000000006</v>
      </c>
      <c r="AA805" s="5">
        <f t="shared" si="212"/>
        <v>0</v>
      </c>
      <c r="AB805" s="5">
        <f t="shared" si="212"/>
        <v>0</v>
      </c>
      <c r="AC805" s="5">
        <f t="shared" si="212"/>
        <v>29131.9</v>
      </c>
      <c r="AD805" s="5">
        <f t="shared" si="212"/>
        <v>0</v>
      </c>
      <c r="AE805" s="5">
        <f t="shared" si="212"/>
        <v>29131.9</v>
      </c>
      <c r="AF805" s="5">
        <f t="shared" si="212"/>
        <v>0</v>
      </c>
      <c r="AG805" s="5">
        <f t="shared" si="212"/>
        <v>0</v>
      </c>
      <c r="AH805" s="5">
        <f t="shared" si="212"/>
        <v>31212.799999999999</v>
      </c>
      <c r="AI805" s="5">
        <f t="shared" si="212"/>
        <v>2219.6</v>
      </c>
      <c r="AJ805" s="5">
        <f t="shared" si="212"/>
        <v>28993.200000000001</v>
      </c>
      <c r="AK805" s="5">
        <f t="shared" si="212"/>
        <v>0</v>
      </c>
      <c r="AL805" s="5">
        <f t="shared" si="212"/>
        <v>0</v>
      </c>
      <c r="AM805" s="5">
        <f t="shared" si="212"/>
        <v>31212.799999999999</v>
      </c>
      <c r="AN805" s="5">
        <f t="shared" si="212"/>
        <v>2219.6</v>
      </c>
      <c r="AO805" s="5">
        <f t="shared" si="212"/>
        <v>28993.200000000001</v>
      </c>
      <c r="AP805" s="5">
        <f t="shared" si="212"/>
        <v>0</v>
      </c>
      <c r="AQ805" s="5">
        <f t="shared" si="212"/>
        <v>0</v>
      </c>
    </row>
    <row r="806" spans="1:43" ht="35.450000000000003" customHeight="1">
      <c r="A806" s="146" t="s">
        <v>30</v>
      </c>
      <c r="B806" s="206"/>
      <c r="C806" s="84" t="s">
        <v>962</v>
      </c>
      <c r="D806" s="84" t="s">
        <v>1094</v>
      </c>
      <c r="E806" s="84" t="s">
        <v>964</v>
      </c>
      <c r="F806" s="84" t="s">
        <v>1095</v>
      </c>
      <c r="G806" s="84" t="s">
        <v>19</v>
      </c>
      <c r="H806" s="84" t="s">
        <v>1096</v>
      </c>
      <c r="I806" s="87" t="s">
        <v>1097</v>
      </c>
      <c r="J806" s="3"/>
      <c r="K806" s="3"/>
      <c r="L806" s="3"/>
      <c r="M806" s="420" t="s">
        <v>1098</v>
      </c>
      <c r="N806" s="3">
        <f>P806+R806+T806+V806</f>
        <v>28780.600000000002</v>
      </c>
      <c r="O806" s="3">
        <f>Q806+S806</f>
        <v>28780.6</v>
      </c>
      <c r="P806" s="3"/>
      <c r="Q806" s="3"/>
      <c r="R806" s="3">
        <f>25199.6+6013.2-424.1-2008.1</f>
        <v>28780.600000000002</v>
      </c>
      <c r="S806" s="3">
        <v>28780.6</v>
      </c>
      <c r="T806" s="3"/>
      <c r="U806" s="3"/>
      <c r="V806" s="3"/>
      <c r="W806" s="3"/>
      <c r="X806" s="3">
        <f>Y806+Z806+AA806+AB806</f>
        <v>64446.200000000004</v>
      </c>
      <c r="Y806" s="3"/>
      <c r="Z806" s="3">
        <f>25490.4-1068.1+40023.9</f>
        <v>64446.200000000004</v>
      </c>
      <c r="AA806" s="3"/>
      <c r="AB806" s="3"/>
      <c r="AC806" s="3">
        <f>AD806+AE806+AF806+AG806</f>
        <v>29131.9</v>
      </c>
      <c r="AD806" s="3"/>
      <c r="AE806" s="3">
        <v>29131.9</v>
      </c>
      <c r="AF806" s="3"/>
      <c r="AG806" s="3"/>
      <c r="AH806" s="3">
        <f>AI806+AJ806+AK806+AL806</f>
        <v>27744.7</v>
      </c>
      <c r="AI806" s="3"/>
      <c r="AJ806" s="3">
        <v>27744.7</v>
      </c>
      <c r="AK806" s="3"/>
      <c r="AL806" s="3"/>
      <c r="AM806" s="3">
        <f>AN806+AO806+AP806+AQ806</f>
        <v>27744.7</v>
      </c>
      <c r="AN806" s="3"/>
      <c r="AO806" s="3">
        <v>27744.7</v>
      </c>
      <c r="AP806" s="3"/>
      <c r="AQ806" s="3"/>
    </row>
    <row r="807" spans="1:43" ht="35.450000000000003" customHeight="1">
      <c r="A807" s="146" t="s">
        <v>30</v>
      </c>
      <c r="B807" s="206"/>
      <c r="C807" s="71"/>
      <c r="D807" s="3"/>
      <c r="E807" s="3"/>
      <c r="F807" s="84" t="s">
        <v>1099</v>
      </c>
      <c r="G807" s="84" t="s">
        <v>1100</v>
      </c>
      <c r="H807" s="84" t="s">
        <v>1101</v>
      </c>
      <c r="I807" s="87"/>
      <c r="J807" s="3"/>
      <c r="K807" s="3"/>
      <c r="L807" s="3"/>
      <c r="M807" s="196"/>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row>
    <row r="808" spans="1:43" ht="35.450000000000003" customHeight="1">
      <c r="A808" s="146" t="s">
        <v>30</v>
      </c>
      <c r="B808" s="206"/>
      <c r="C808" s="71"/>
      <c r="D808" s="3"/>
      <c r="E808" s="3"/>
      <c r="F808" s="3"/>
      <c r="G808" s="3"/>
      <c r="H808" s="3"/>
      <c r="I808" s="3"/>
      <c r="J808" s="3"/>
      <c r="K808" s="3"/>
      <c r="L808" s="3"/>
      <c r="M808" s="196" t="s">
        <v>1102</v>
      </c>
      <c r="N808" s="3">
        <f>P808+R808+T808+V808</f>
        <v>0</v>
      </c>
      <c r="O808" s="3"/>
      <c r="P808" s="3">
        <f>6254.3-6254.3</f>
        <v>0</v>
      </c>
      <c r="Q808" s="3"/>
      <c r="R808" s="3">
        <f>2554.6-2554.6</f>
        <v>0</v>
      </c>
      <c r="S808" s="3"/>
      <c r="T808" s="3"/>
      <c r="U808" s="3"/>
      <c r="V808" s="3"/>
      <c r="W808" s="3"/>
      <c r="X808" s="3">
        <f>Y808+Z808+AA808+AB808</f>
        <v>0</v>
      </c>
      <c r="Y808" s="3">
        <f>6254.3-6254.3</f>
        <v>0</v>
      </c>
      <c r="Z808" s="3">
        <f>2554.6-2554.6</f>
        <v>0</v>
      </c>
      <c r="AA808" s="3"/>
      <c r="AB808" s="3"/>
      <c r="AC808" s="3">
        <f>AD808+AE808+AF808+AG808</f>
        <v>0</v>
      </c>
      <c r="AD808" s="3">
        <f>6254.3-6254.3</f>
        <v>0</v>
      </c>
      <c r="AE808" s="3">
        <f>2554.6-2554.6</f>
        <v>0</v>
      </c>
      <c r="AF808" s="3"/>
      <c r="AG808" s="3"/>
      <c r="AH808" s="3">
        <f>AI808+AJ808+AK808+AL808</f>
        <v>0</v>
      </c>
      <c r="AI808" s="3">
        <f>6254.3-6254.3</f>
        <v>0</v>
      </c>
      <c r="AJ808" s="3">
        <f>2554.6-2554.6</f>
        <v>0</v>
      </c>
      <c r="AK808" s="3"/>
      <c r="AL808" s="3"/>
      <c r="AM808" s="3">
        <f>AN808+AO808+AP808+AQ808</f>
        <v>0</v>
      </c>
      <c r="AN808" s="3">
        <f>6254.3-6254.3</f>
        <v>0</v>
      </c>
      <c r="AO808" s="3">
        <f>2554.6-2554.6</f>
        <v>0</v>
      </c>
      <c r="AP808" s="3"/>
      <c r="AQ808" s="3"/>
    </row>
    <row r="809" spans="1:43" ht="35.450000000000003" customHeight="1">
      <c r="A809" s="146" t="s">
        <v>30</v>
      </c>
      <c r="B809" s="156"/>
      <c r="C809" s="131" t="s">
        <v>1103</v>
      </c>
      <c r="D809" s="131"/>
      <c r="E809" s="131"/>
      <c r="F809" s="131" t="s">
        <v>1104</v>
      </c>
      <c r="G809" s="131" t="s">
        <v>1105</v>
      </c>
      <c r="H809" s="131" t="s">
        <v>1106</v>
      </c>
      <c r="I809" s="131" t="s">
        <v>1107</v>
      </c>
      <c r="J809" s="174">
        <v>45737</v>
      </c>
      <c r="K809" s="87" t="s">
        <v>1108</v>
      </c>
      <c r="L809" s="421"/>
      <c r="M809" s="196" t="s">
        <v>1109</v>
      </c>
      <c r="N809" s="3">
        <f>P809+R809+T809+V809</f>
        <v>0</v>
      </c>
      <c r="O809" s="141"/>
      <c r="P809" s="141"/>
      <c r="Q809" s="141"/>
      <c r="R809" s="141"/>
      <c r="S809" s="141"/>
      <c r="T809" s="141"/>
      <c r="U809" s="141"/>
      <c r="V809" s="141"/>
      <c r="W809" s="141"/>
      <c r="X809" s="3">
        <f>Y809+Z809+AA809+AB809</f>
        <v>3627.5</v>
      </c>
      <c r="Y809" s="141">
        <f>2549.1-14</f>
        <v>2535.1</v>
      </c>
      <c r="Z809" s="141">
        <v>1092.4000000000001</v>
      </c>
      <c r="AA809" s="141"/>
      <c r="AB809" s="141"/>
      <c r="AC809" s="3">
        <f>AD809+AE809+AF809+AG809</f>
        <v>0</v>
      </c>
      <c r="AD809" s="141"/>
      <c r="AE809" s="141">
        <v>0</v>
      </c>
      <c r="AF809" s="141"/>
      <c r="AG809" s="141"/>
      <c r="AH809" s="3">
        <f>AI809+AJ809+AK809+AL809</f>
        <v>3468.1</v>
      </c>
      <c r="AI809" s="141">
        <v>2219.6</v>
      </c>
      <c r="AJ809" s="141">
        <v>1248.5</v>
      </c>
      <c r="AK809" s="141"/>
      <c r="AL809" s="141"/>
      <c r="AM809" s="3">
        <f>AN809+AO809+AP809+AQ809</f>
        <v>3468.1</v>
      </c>
      <c r="AN809" s="141">
        <v>2219.6</v>
      </c>
      <c r="AO809" s="141">
        <v>1248.5</v>
      </c>
      <c r="AP809" s="141"/>
      <c r="AQ809" s="141"/>
    </row>
    <row r="810" spans="1:43" ht="35.450000000000003" customHeight="1" thickBot="1">
      <c r="A810" s="76" t="s">
        <v>1110</v>
      </c>
      <c r="B810" s="217">
        <v>3235</v>
      </c>
      <c r="C810" s="78"/>
      <c r="D810" s="5"/>
      <c r="E810" s="5"/>
      <c r="F810" s="5"/>
      <c r="G810" s="5"/>
      <c r="H810" s="5"/>
      <c r="I810" s="422" t="s">
        <v>1111</v>
      </c>
      <c r="J810" s="423">
        <v>45314</v>
      </c>
      <c r="K810" s="421" t="s">
        <v>1112</v>
      </c>
      <c r="L810" s="5">
        <v>10</v>
      </c>
      <c r="M810" s="196"/>
      <c r="N810" s="424">
        <f t="shared" ref="N810:V810" si="213">N811</f>
        <v>0</v>
      </c>
      <c r="O810" s="424"/>
      <c r="P810" s="424">
        <f t="shared" si="213"/>
        <v>0</v>
      </c>
      <c r="Q810" s="424"/>
      <c r="R810" s="424">
        <f t="shared" si="213"/>
        <v>0</v>
      </c>
      <c r="S810" s="424"/>
      <c r="T810" s="424">
        <f t="shared" si="213"/>
        <v>0</v>
      </c>
      <c r="U810" s="424"/>
      <c r="V810" s="424">
        <f t="shared" si="213"/>
        <v>0</v>
      </c>
      <c r="W810" s="424"/>
      <c r="X810" s="424">
        <f t="shared" ref="X810:AQ810" si="214">X811</f>
        <v>0</v>
      </c>
      <c r="Y810" s="424">
        <f t="shared" si="214"/>
        <v>0</v>
      </c>
      <c r="Z810" s="424">
        <f t="shared" si="214"/>
        <v>0</v>
      </c>
      <c r="AA810" s="424">
        <f t="shared" si="214"/>
        <v>0</v>
      </c>
      <c r="AB810" s="424">
        <f t="shared" si="214"/>
        <v>0</v>
      </c>
      <c r="AC810" s="424">
        <f t="shared" si="214"/>
        <v>0</v>
      </c>
      <c r="AD810" s="424">
        <f t="shared" si="214"/>
        <v>0</v>
      </c>
      <c r="AE810" s="424">
        <f t="shared" si="214"/>
        <v>0</v>
      </c>
      <c r="AF810" s="424">
        <f t="shared" si="214"/>
        <v>0</v>
      </c>
      <c r="AG810" s="424">
        <f t="shared" si="214"/>
        <v>0</v>
      </c>
      <c r="AH810" s="424">
        <f t="shared" si="214"/>
        <v>0</v>
      </c>
      <c r="AI810" s="424">
        <f t="shared" si="214"/>
        <v>0</v>
      </c>
      <c r="AJ810" s="424">
        <f t="shared" si="214"/>
        <v>0</v>
      </c>
      <c r="AK810" s="424">
        <f t="shared" si="214"/>
        <v>0</v>
      </c>
      <c r="AL810" s="424">
        <f t="shared" si="214"/>
        <v>0</v>
      </c>
      <c r="AM810" s="424">
        <f t="shared" si="214"/>
        <v>0</v>
      </c>
      <c r="AN810" s="424">
        <f t="shared" si="214"/>
        <v>0</v>
      </c>
      <c r="AO810" s="424">
        <f t="shared" si="214"/>
        <v>0</v>
      </c>
      <c r="AP810" s="424">
        <f t="shared" si="214"/>
        <v>0</v>
      </c>
      <c r="AQ810" s="424">
        <f t="shared" si="214"/>
        <v>0</v>
      </c>
    </row>
    <row r="811" spans="1:43" ht="35.450000000000003" customHeight="1" thickBot="1">
      <c r="A811" s="72"/>
      <c r="B811" s="80"/>
      <c r="C811" s="131" t="s">
        <v>1113</v>
      </c>
      <c r="D811" s="131" t="s">
        <v>1114</v>
      </c>
      <c r="E811" s="131" t="s">
        <v>1115</v>
      </c>
      <c r="F811" s="131" t="s">
        <v>1116</v>
      </c>
      <c r="G811" s="131" t="s">
        <v>1117</v>
      </c>
      <c r="H811" s="131" t="s">
        <v>1118</v>
      </c>
      <c r="I811" s="3"/>
      <c r="J811" s="3"/>
      <c r="K811" s="3"/>
      <c r="L811" s="3"/>
      <c r="M811" s="386"/>
      <c r="N811" s="3">
        <f>P811+R811+T811+V811</f>
        <v>0</v>
      </c>
      <c r="O811" s="3"/>
      <c r="P811" s="3"/>
      <c r="Q811" s="3"/>
      <c r="R811" s="3">
        <v>0</v>
      </c>
      <c r="S811" s="3"/>
      <c r="T811" s="3"/>
      <c r="U811" s="3"/>
      <c r="V811" s="3"/>
      <c r="W811" s="3"/>
      <c r="X811" s="3">
        <f>Y811+Z811+AA811+AB811</f>
        <v>0</v>
      </c>
      <c r="Y811" s="3"/>
      <c r="Z811" s="3">
        <v>0</v>
      </c>
      <c r="AA811" s="3"/>
      <c r="AB811" s="3"/>
      <c r="AC811" s="3">
        <f>AD811+AE811+AF811+AG811</f>
        <v>0</v>
      </c>
      <c r="AD811" s="3"/>
      <c r="AE811" s="3">
        <v>0</v>
      </c>
      <c r="AF811" s="3"/>
      <c r="AG811" s="3"/>
      <c r="AH811" s="3">
        <f>AI811+AJ811+AK811+AL811</f>
        <v>0</v>
      </c>
      <c r="AI811" s="3"/>
      <c r="AJ811" s="3">
        <v>0</v>
      </c>
      <c r="AK811" s="3"/>
      <c r="AL811" s="3"/>
      <c r="AM811" s="3">
        <f>AN811+AO811+AP811+AQ811</f>
        <v>0</v>
      </c>
      <c r="AN811" s="3"/>
      <c r="AO811" s="3">
        <v>0</v>
      </c>
      <c r="AP811" s="3"/>
      <c r="AQ811" s="3"/>
    </row>
    <row r="812" spans="1:43" ht="35.450000000000003" customHeight="1" thickBot="1">
      <c r="A812" s="76" t="s">
        <v>1119</v>
      </c>
      <c r="B812" s="217">
        <v>3236</v>
      </c>
      <c r="C812" s="78"/>
      <c r="D812" s="5"/>
      <c r="E812" s="5"/>
      <c r="F812" s="5"/>
      <c r="G812" s="5"/>
      <c r="H812" s="5"/>
      <c r="I812" s="5"/>
      <c r="J812" s="5"/>
      <c r="K812" s="5"/>
      <c r="L812" s="5">
        <v>10</v>
      </c>
      <c r="M812" s="196"/>
      <c r="N812" s="126">
        <f t="shared" ref="N812:V812" si="215">N813+N814+N815</f>
        <v>655.09999999999991</v>
      </c>
      <c r="O812" s="126">
        <f t="shared" si="215"/>
        <v>555.5</v>
      </c>
      <c r="P812" s="126">
        <f t="shared" si="215"/>
        <v>0</v>
      </c>
      <c r="Q812" s="126">
        <f t="shared" si="215"/>
        <v>0</v>
      </c>
      <c r="R812" s="126">
        <f t="shared" si="215"/>
        <v>655.09999999999991</v>
      </c>
      <c r="S812" s="126">
        <f t="shared" si="215"/>
        <v>555.5</v>
      </c>
      <c r="T812" s="126">
        <f t="shared" si="215"/>
        <v>0</v>
      </c>
      <c r="U812" s="126"/>
      <c r="V812" s="126">
        <f t="shared" si="215"/>
        <v>0</v>
      </c>
      <c r="W812" s="126"/>
      <c r="X812" s="126">
        <f t="shared" ref="X812:AQ812" si="216">X813+X814+X815</f>
        <v>576.5</v>
      </c>
      <c r="Y812" s="126">
        <f t="shared" si="216"/>
        <v>0</v>
      </c>
      <c r="Z812" s="126">
        <f t="shared" si="216"/>
        <v>576.5</v>
      </c>
      <c r="AA812" s="126">
        <f t="shared" si="216"/>
        <v>0</v>
      </c>
      <c r="AB812" s="126">
        <f t="shared" si="216"/>
        <v>0</v>
      </c>
      <c r="AC812" s="126">
        <f t="shared" si="216"/>
        <v>976.5</v>
      </c>
      <c r="AD812" s="126">
        <f t="shared" si="216"/>
        <v>0</v>
      </c>
      <c r="AE812" s="126">
        <f t="shared" si="216"/>
        <v>976.5</v>
      </c>
      <c r="AF812" s="126">
        <f t="shared" si="216"/>
        <v>0</v>
      </c>
      <c r="AG812" s="126">
        <f t="shared" si="216"/>
        <v>0</v>
      </c>
      <c r="AH812" s="126">
        <f t="shared" si="216"/>
        <v>976.5</v>
      </c>
      <c r="AI812" s="126">
        <f t="shared" si="216"/>
        <v>0</v>
      </c>
      <c r="AJ812" s="126">
        <f t="shared" si="216"/>
        <v>976.5</v>
      </c>
      <c r="AK812" s="126">
        <f t="shared" si="216"/>
        <v>0</v>
      </c>
      <c r="AL812" s="126">
        <f t="shared" si="216"/>
        <v>0</v>
      </c>
      <c r="AM812" s="126">
        <f t="shared" si="216"/>
        <v>976.5</v>
      </c>
      <c r="AN812" s="126">
        <f t="shared" si="216"/>
        <v>0</v>
      </c>
      <c r="AO812" s="126">
        <f t="shared" si="216"/>
        <v>976.5</v>
      </c>
      <c r="AP812" s="126">
        <f t="shared" si="216"/>
        <v>0</v>
      </c>
      <c r="AQ812" s="126">
        <f t="shared" si="216"/>
        <v>0</v>
      </c>
    </row>
    <row r="813" spans="1:43" ht="35.450000000000003" customHeight="1" thickBot="1">
      <c r="A813" s="72" t="s">
        <v>869</v>
      </c>
      <c r="B813" s="80"/>
      <c r="C813" s="84" t="s">
        <v>962</v>
      </c>
      <c r="D813" s="84" t="s">
        <v>1120</v>
      </c>
      <c r="E813" s="84" t="s">
        <v>964</v>
      </c>
      <c r="F813" s="4" t="s">
        <v>1121</v>
      </c>
      <c r="G813" s="4" t="s">
        <v>322</v>
      </c>
      <c r="H813" s="4" t="s">
        <v>1122</v>
      </c>
      <c r="I813" s="131" t="s">
        <v>1123</v>
      </c>
      <c r="J813" s="64" t="s">
        <v>277</v>
      </c>
      <c r="K813" s="87"/>
      <c r="L813" s="3"/>
      <c r="M813" s="196" t="s">
        <v>1124</v>
      </c>
      <c r="N813" s="3">
        <f>P813+R813+T813+V813</f>
        <v>603.29999999999995</v>
      </c>
      <c r="O813" s="3">
        <f>Q813+S813</f>
        <v>507.2</v>
      </c>
      <c r="P813" s="3"/>
      <c r="Q813" s="3"/>
      <c r="R813" s="3">
        <f>854.1-250.8</f>
        <v>603.29999999999995</v>
      </c>
      <c r="S813" s="3">
        <v>507.2</v>
      </c>
      <c r="T813" s="3"/>
      <c r="U813" s="3"/>
      <c r="V813" s="3"/>
      <c r="W813" s="3"/>
      <c r="X813" s="3">
        <f>Y813+Z813+AA813+AB813</f>
        <v>558.6</v>
      </c>
      <c r="Y813" s="3"/>
      <c r="Z813" s="3">
        <f>809.1-250.5</f>
        <v>558.6</v>
      </c>
      <c r="AA813" s="3"/>
      <c r="AB813" s="3"/>
      <c r="AC813" s="3">
        <f>AD813+AE813+AF813+AG813</f>
        <v>809.1</v>
      </c>
      <c r="AD813" s="3"/>
      <c r="AE813" s="3">
        <v>809.1</v>
      </c>
      <c r="AF813" s="3"/>
      <c r="AG813" s="3"/>
      <c r="AH813" s="3">
        <f>AI813+AJ813+AK813+AL813</f>
        <v>809.1</v>
      </c>
      <c r="AI813" s="3"/>
      <c r="AJ813" s="3">
        <v>809.1</v>
      </c>
      <c r="AK813" s="3"/>
      <c r="AL813" s="3"/>
      <c r="AM813" s="3">
        <f>AN813+AO813+AP813+AQ813</f>
        <v>809.1</v>
      </c>
      <c r="AN813" s="3"/>
      <c r="AO813" s="3">
        <v>809.1</v>
      </c>
      <c r="AP813" s="3"/>
      <c r="AQ813" s="3"/>
    </row>
    <row r="814" spans="1:43" ht="35.450000000000003" customHeight="1" thickBot="1">
      <c r="A814" s="72" t="s">
        <v>869</v>
      </c>
      <c r="B814" s="80"/>
      <c r="C814" s="4" t="s">
        <v>311</v>
      </c>
      <c r="D814" s="4" t="s">
        <v>312</v>
      </c>
      <c r="E814" s="4" t="s">
        <v>313</v>
      </c>
      <c r="F814" s="4"/>
      <c r="G814" s="4"/>
      <c r="H814" s="4"/>
      <c r="I814" s="131"/>
      <c r="J814" s="64"/>
      <c r="K814" s="87"/>
      <c r="L814" s="3"/>
      <c r="M814" s="196" t="s">
        <v>1125</v>
      </c>
      <c r="N814" s="3">
        <f>P814+R814+T814+V814</f>
        <v>51.8</v>
      </c>
      <c r="O814" s="3">
        <f>Q814+S814</f>
        <v>48.3</v>
      </c>
      <c r="P814" s="3"/>
      <c r="Q814" s="3"/>
      <c r="R814" s="3">
        <v>51.8</v>
      </c>
      <c r="S814" s="3">
        <v>48.3</v>
      </c>
      <c r="T814" s="3"/>
      <c r="U814" s="3"/>
      <c r="V814" s="3"/>
      <c r="W814" s="3"/>
      <c r="X814" s="3">
        <f>Y814+Z814+AA814+AB814</f>
        <v>17.899999999999999</v>
      </c>
      <c r="Y814" s="3"/>
      <c r="Z814" s="3">
        <f>27.9-10</f>
        <v>17.899999999999999</v>
      </c>
      <c r="AA814" s="3"/>
      <c r="AB814" s="3"/>
      <c r="AC814" s="3">
        <f>AD814+AE814+AF814+AG814</f>
        <v>27.9</v>
      </c>
      <c r="AD814" s="3"/>
      <c r="AE814" s="3">
        <v>27.9</v>
      </c>
      <c r="AF814" s="3"/>
      <c r="AG814" s="3"/>
      <c r="AH814" s="3">
        <f>AI814+AJ814+AK814+AL814</f>
        <v>27.9</v>
      </c>
      <c r="AI814" s="3"/>
      <c r="AJ814" s="3">
        <v>27.9</v>
      </c>
      <c r="AK814" s="3"/>
      <c r="AL814" s="3"/>
      <c r="AM814" s="3">
        <f>AN814+AO814+AP814+AQ814</f>
        <v>27.9</v>
      </c>
      <c r="AN814" s="3"/>
      <c r="AO814" s="3">
        <v>27.9</v>
      </c>
      <c r="AP814" s="3"/>
      <c r="AQ814" s="3"/>
    </row>
    <row r="815" spans="1:43" ht="35.450000000000003" customHeight="1" thickBot="1">
      <c r="A815" s="72" t="s">
        <v>869</v>
      </c>
      <c r="B815" s="80"/>
      <c r="C815" s="4"/>
      <c r="D815" s="4"/>
      <c r="E815" s="4"/>
      <c r="F815" s="4"/>
      <c r="G815" s="4"/>
      <c r="H815" s="4"/>
      <c r="I815" s="131"/>
      <c r="J815" s="64"/>
      <c r="K815" s="87"/>
      <c r="L815" s="3"/>
      <c r="M815" s="196" t="s">
        <v>1126</v>
      </c>
      <c r="N815" s="3">
        <f>P815+R815+T815+V815</f>
        <v>0</v>
      </c>
      <c r="O815" s="3">
        <f>Q815+S815</f>
        <v>0</v>
      </c>
      <c r="P815" s="3"/>
      <c r="Q815" s="3"/>
      <c r="R815" s="3">
        <f>129.5-129.5</f>
        <v>0</v>
      </c>
      <c r="S815" s="3"/>
      <c r="T815" s="3"/>
      <c r="U815" s="3"/>
      <c r="V815" s="3"/>
      <c r="W815" s="3"/>
      <c r="X815" s="3">
        <f>Y815+Z815+AA815+AB815</f>
        <v>0</v>
      </c>
      <c r="Y815" s="3"/>
      <c r="Z815" s="3">
        <f>139.5-139.5</f>
        <v>0</v>
      </c>
      <c r="AA815" s="3"/>
      <c r="AB815" s="3"/>
      <c r="AC815" s="3">
        <f>AD815+AE815+AF815+AG815</f>
        <v>139.5</v>
      </c>
      <c r="AD815" s="3"/>
      <c r="AE815" s="3">
        <v>139.5</v>
      </c>
      <c r="AF815" s="3"/>
      <c r="AG815" s="3"/>
      <c r="AH815" s="3">
        <f>AI815+AJ815+AK815+AL815</f>
        <v>139.5</v>
      </c>
      <c r="AI815" s="3"/>
      <c r="AJ815" s="3">
        <v>139.5</v>
      </c>
      <c r="AK815" s="3"/>
      <c r="AL815" s="3"/>
      <c r="AM815" s="3">
        <f>AN815+AO815+AP815+AQ815</f>
        <v>139.5</v>
      </c>
      <c r="AN815" s="3"/>
      <c r="AO815" s="3">
        <v>139.5</v>
      </c>
      <c r="AP815" s="3"/>
      <c r="AQ815" s="3"/>
    </row>
    <row r="816" spans="1:43" ht="35.450000000000003" customHeight="1" thickBot="1">
      <c r="A816" s="76" t="s">
        <v>1127</v>
      </c>
      <c r="B816" s="217">
        <v>3237</v>
      </c>
      <c r="C816" s="78"/>
      <c r="D816" s="5"/>
      <c r="E816" s="5"/>
      <c r="F816" s="5"/>
      <c r="G816" s="5"/>
      <c r="H816" s="5"/>
      <c r="I816" s="5"/>
      <c r="J816" s="5"/>
      <c r="K816" s="5"/>
      <c r="L816" s="5">
        <v>10</v>
      </c>
      <c r="M816" s="196"/>
      <c r="N816" s="5">
        <f t="shared" ref="N816:V816" si="217">N817+N818+N820+N819</f>
        <v>4883.8999999999996</v>
      </c>
      <c r="O816" s="5">
        <f t="shared" si="217"/>
        <v>4481.5</v>
      </c>
      <c r="P816" s="5">
        <f t="shared" si="217"/>
        <v>0</v>
      </c>
      <c r="Q816" s="5">
        <f t="shared" si="217"/>
        <v>0</v>
      </c>
      <c r="R816" s="5">
        <f t="shared" si="217"/>
        <v>4883.8999999999996</v>
      </c>
      <c r="S816" s="5">
        <f t="shared" si="217"/>
        <v>4481.5</v>
      </c>
      <c r="T816" s="5">
        <f t="shared" si="217"/>
        <v>0</v>
      </c>
      <c r="U816" s="5"/>
      <c r="V816" s="5">
        <f t="shared" si="217"/>
        <v>0</v>
      </c>
      <c r="W816" s="5"/>
      <c r="X816" s="5">
        <f t="shared" ref="X816:AQ816" si="218">X817+X818+X820+X819</f>
        <v>6068.4</v>
      </c>
      <c r="Y816" s="5">
        <f t="shared" si="218"/>
        <v>0</v>
      </c>
      <c r="Z816" s="5">
        <f t="shared" si="218"/>
        <v>6068.4</v>
      </c>
      <c r="AA816" s="5">
        <f t="shared" si="218"/>
        <v>0</v>
      </c>
      <c r="AB816" s="5">
        <f t="shared" si="218"/>
        <v>0</v>
      </c>
      <c r="AC816" s="5">
        <f t="shared" si="218"/>
        <v>6430.4</v>
      </c>
      <c r="AD816" s="5">
        <f t="shared" si="218"/>
        <v>0</v>
      </c>
      <c r="AE816" s="5">
        <f t="shared" si="218"/>
        <v>6430.4</v>
      </c>
      <c r="AF816" s="5">
        <f t="shared" si="218"/>
        <v>0</v>
      </c>
      <c r="AG816" s="5">
        <f t="shared" si="218"/>
        <v>0</v>
      </c>
      <c r="AH816" s="5">
        <f t="shared" si="218"/>
        <v>6430.4</v>
      </c>
      <c r="AI816" s="5">
        <f t="shared" si="218"/>
        <v>0</v>
      </c>
      <c r="AJ816" s="5">
        <f t="shared" si="218"/>
        <v>6430.4</v>
      </c>
      <c r="AK816" s="5">
        <f t="shared" si="218"/>
        <v>0</v>
      </c>
      <c r="AL816" s="5">
        <f t="shared" si="218"/>
        <v>0</v>
      </c>
      <c r="AM816" s="5">
        <f t="shared" si="218"/>
        <v>6430.4</v>
      </c>
      <c r="AN816" s="5">
        <f t="shared" si="218"/>
        <v>0</v>
      </c>
      <c r="AO816" s="5">
        <f t="shared" si="218"/>
        <v>6430.4</v>
      </c>
      <c r="AP816" s="5">
        <f t="shared" si="218"/>
        <v>0</v>
      </c>
      <c r="AQ816" s="5">
        <f t="shared" si="218"/>
        <v>0</v>
      </c>
    </row>
    <row r="817" spans="1:43" ht="35.450000000000003" customHeight="1" thickBot="1">
      <c r="A817" s="72" t="s">
        <v>869</v>
      </c>
      <c r="B817" s="80"/>
      <c r="C817" s="4" t="s">
        <v>311</v>
      </c>
      <c r="D817" s="4" t="s">
        <v>312</v>
      </c>
      <c r="E817" s="4" t="s">
        <v>313</v>
      </c>
      <c r="F817" s="416" t="s">
        <v>314</v>
      </c>
      <c r="G817" s="4"/>
      <c r="H817" s="4"/>
      <c r="I817" s="219" t="s">
        <v>317</v>
      </c>
      <c r="J817" s="64" t="s">
        <v>277</v>
      </c>
      <c r="K817" s="4"/>
      <c r="L817" s="3"/>
      <c r="M817" s="196" t="s">
        <v>1128</v>
      </c>
      <c r="N817" s="3">
        <f>P817+R817+T817+V817</f>
        <v>2565.6</v>
      </c>
      <c r="O817" s="3">
        <f>Q817+S817</f>
        <v>2339.6999999999998</v>
      </c>
      <c r="P817" s="3"/>
      <c r="Q817" s="3"/>
      <c r="R817" s="3">
        <f>3921-1355.4</f>
        <v>2565.6</v>
      </c>
      <c r="S817" s="3">
        <v>2339.6999999999998</v>
      </c>
      <c r="T817" s="3"/>
      <c r="U817" s="3"/>
      <c r="V817" s="3"/>
      <c r="W817" s="3"/>
      <c r="X817" s="3">
        <f>Y817+Z817+AA817+AB817</f>
        <v>3585.7</v>
      </c>
      <c r="Y817" s="3"/>
      <c r="Z817" s="3">
        <v>3585.7</v>
      </c>
      <c r="AA817" s="3"/>
      <c r="AB817" s="3"/>
      <c r="AC817" s="3">
        <f>AD817+AE817+AF817+AG817</f>
        <v>3585.7</v>
      </c>
      <c r="AD817" s="3"/>
      <c r="AE817" s="3">
        <v>3585.7</v>
      </c>
      <c r="AF817" s="3"/>
      <c r="AG817" s="3"/>
      <c r="AH817" s="3">
        <f>AI817+AJ817+AK817+AL817</f>
        <v>3585.7</v>
      </c>
      <c r="AI817" s="3"/>
      <c r="AJ817" s="3">
        <v>3585.7</v>
      </c>
      <c r="AK817" s="3"/>
      <c r="AL817" s="3"/>
      <c r="AM817" s="3">
        <f>AN817+AO817+AP817+AQ817</f>
        <v>3585.7</v>
      </c>
      <c r="AN817" s="3"/>
      <c r="AO817" s="3">
        <v>3585.7</v>
      </c>
      <c r="AP817" s="3"/>
      <c r="AQ817" s="3"/>
    </row>
    <row r="818" spans="1:43" ht="35.450000000000003" customHeight="1" thickBot="1">
      <c r="A818" s="72" t="s">
        <v>869</v>
      </c>
      <c r="B818" s="80"/>
      <c r="C818" s="4"/>
      <c r="D818" s="4"/>
      <c r="E818" s="4"/>
      <c r="F818" s="4" t="s">
        <v>316</v>
      </c>
      <c r="G818" s="4"/>
      <c r="H818" s="4"/>
      <c r="I818" s="4" t="s">
        <v>1129</v>
      </c>
      <c r="J818" s="64" t="s">
        <v>277</v>
      </c>
      <c r="K818" s="4"/>
      <c r="L818" s="3"/>
      <c r="M818" s="196" t="s">
        <v>1130</v>
      </c>
      <c r="N818" s="3">
        <f>P818+R818+T818+V818</f>
        <v>624.20000000000005</v>
      </c>
      <c r="O818" s="3">
        <f>Q818+S818</f>
        <v>505.3</v>
      </c>
      <c r="P818" s="3"/>
      <c r="Q818" s="3"/>
      <c r="R818" s="3">
        <f>901.1-277+0.1</f>
        <v>624.20000000000005</v>
      </c>
      <c r="S818" s="3">
        <v>505.3</v>
      </c>
      <c r="T818" s="3"/>
      <c r="U818" s="3"/>
      <c r="V818" s="3"/>
      <c r="W818" s="3"/>
      <c r="X818" s="3">
        <f>Y818+Z818+AA818+AB818</f>
        <v>817.8</v>
      </c>
      <c r="Y818" s="3"/>
      <c r="Z818" s="3">
        <v>817.8</v>
      </c>
      <c r="AA818" s="3"/>
      <c r="AB818" s="3"/>
      <c r="AC818" s="3">
        <f>AD818+AE818+AF818+AG818</f>
        <v>817.8</v>
      </c>
      <c r="AD818" s="3"/>
      <c r="AE818" s="3">
        <v>817.8</v>
      </c>
      <c r="AF818" s="3"/>
      <c r="AG818" s="3"/>
      <c r="AH818" s="3">
        <f>AI818+AJ818+AK818+AL818</f>
        <v>817.8</v>
      </c>
      <c r="AI818" s="3"/>
      <c r="AJ818" s="3">
        <v>817.8</v>
      </c>
      <c r="AK818" s="3"/>
      <c r="AL818" s="3"/>
      <c r="AM818" s="3">
        <f>AN818+AO818+AP818+AQ818</f>
        <v>817.8</v>
      </c>
      <c r="AN818" s="3"/>
      <c r="AO818" s="3">
        <v>817.8</v>
      </c>
      <c r="AP818" s="3"/>
      <c r="AQ818" s="3"/>
    </row>
    <row r="819" spans="1:43" ht="35.450000000000003" customHeight="1" thickBot="1">
      <c r="A819" s="72" t="s">
        <v>869</v>
      </c>
      <c r="B819" s="80"/>
      <c r="C819" s="84" t="s">
        <v>962</v>
      </c>
      <c r="D819" s="84" t="s">
        <v>1131</v>
      </c>
      <c r="E819" s="84" t="s">
        <v>964</v>
      </c>
      <c r="F819" s="84" t="s">
        <v>1132</v>
      </c>
      <c r="G819" s="84" t="s">
        <v>1133</v>
      </c>
      <c r="H819" s="84" t="s">
        <v>1134</v>
      </c>
      <c r="I819" s="219"/>
      <c r="J819" s="64"/>
      <c r="K819" s="4"/>
      <c r="L819" s="3"/>
      <c r="M819" s="196" t="s">
        <v>1135</v>
      </c>
      <c r="N819" s="3">
        <f>P819+R819+T819+V819</f>
        <v>0</v>
      </c>
      <c r="O819" s="3">
        <f>Q819+S819</f>
        <v>0</v>
      </c>
      <c r="P819" s="3"/>
      <c r="Q819" s="3"/>
      <c r="R819" s="3">
        <f>4164.7-4164.7</f>
        <v>0</v>
      </c>
      <c r="S819" s="3"/>
      <c r="T819" s="3"/>
      <c r="U819" s="3"/>
      <c r="V819" s="3"/>
      <c r="W819" s="3"/>
      <c r="X819" s="3">
        <f>Y819+Z819+AA819+AB819</f>
        <v>0</v>
      </c>
      <c r="Y819" s="3"/>
      <c r="Z819" s="3">
        <v>0</v>
      </c>
      <c r="AA819" s="3"/>
      <c r="AB819" s="3"/>
      <c r="AC819" s="3">
        <f>AD819+AE819+AF819+AG819</f>
        <v>0</v>
      </c>
      <c r="AD819" s="3"/>
      <c r="AE819" s="3">
        <v>0</v>
      </c>
      <c r="AF819" s="3"/>
      <c r="AG819" s="3"/>
      <c r="AH819" s="3">
        <f>AI819+AJ819+AK819+AL819</f>
        <v>0</v>
      </c>
      <c r="AI819" s="3"/>
      <c r="AJ819" s="3">
        <v>0</v>
      </c>
      <c r="AK819" s="3"/>
      <c r="AL819" s="3"/>
      <c r="AM819" s="3">
        <f>AN819+AO819+AP819+AQ819</f>
        <v>0</v>
      </c>
      <c r="AN819" s="3"/>
      <c r="AO819" s="3">
        <v>0</v>
      </c>
      <c r="AP819" s="3"/>
      <c r="AQ819" s="3"/>
    </row>
    <row r="820" spans="1:43" ht="35.450000000000003" customHeight="1" thickBot="1">
      <c r="A820" s="72" t="s">
        <v>869</v>
      </c>
      <c r="B820" s="80"/>
      <c r="C820" s="84"/>
      <c r="D820" s="84"/>
      <c r="E820" s="84"/>
      <c r="F820" s="1" t="s">
        <v>1136</v>
      </c>
      <c r="G820" s="1" t="s">
        <v>19</v>
      </c>
      <c r="H820" s="1" t="s">
        <v>1137</v>
      </c>
      <c r="I820" s="254"/>
      <c r="J820" s="254"/>
      <c r="K820" s="4"/>
      <c r="L820" s="3"/>
      <c r="M820" s="196" t="s">
        <v>1138</v>
      </c>
      <c r="N820" s="3">
        <f>P820+R820+T820+V820</f>
        <v>1694.1</v>
      </c>
      <c r="O820" s="3">
        <f>Q820+S820</f>
        <v>1636.5</v>
      </c>
      <c r="P820" s="3"/>
      <c r="Q820" s="3"/>
      <c r="R820" s="3">
        <v>1694.1</v>
      </c>
      <c r="S820" s="3">
        <v>1636.5</v>
      </c>
      <c r="T820" s="3"/>
      <c r="U820" s="3"/>
      <c r="V820" s="3"/>
      <c r="W820" s="3"/>
      <c r="X820" s="3">
        <f>Y820+Z820+AA820+AB820</f>
        <v>1664.9</v>
      </c>
      <c r="Y820" s="3"/>
      <c r="Z820" s="3">
        <f>2026.9-362</f>
        <v>1664.9</v>
      </c>
      <c r="AA820" s="3"/>
      <c r="AB820" s="3"/>
      <c r="AC820" s="3">
        <f>AD820+AE820+AF820+AG820</f>
        <v>2026.9</v>
      </c>
      <c r="AD820" s="3"/>
      <c r="AE820" s="3">
        <v>2026.9</v>
      </c>
      <c r="AF820" s="3"/>
      <c r="AG820" s="3"/>
      <c r="AH820" s="3">
        <f>AI820+AJ820+AK820+AL820</f>
        <v>2026.9</v>
      </c>
      <c r="AI820" s="3"/>
      <c r="AJ820" s="3">
        <v>2026.9</v>
      </c>
      <c r="AK820" s="3"/>
      <c r="AL820" s="3"/>
      <c r="AM820" s="3">
        <f>AN820+AO820+AP820+AQ820</f>
        <v>2026.9</v>
      </c>
      <c r="AN820" s="3"/>
      <c r="AO820" s="3">
        <v>2026.9</v>
      </c>
      <c r="AP820" s="3"/>
      <c r="AQ820" s="3"/>
    </row>
    <row r="821" spans="1:43" ht="35.450000000000003" customHeight="1" thickBot="1">
      <c r="A821" s="76" t="s">
        <v>1139</v>
      </c>
      <c r="B821" s="217">
        <v>3241</v>
      </c>
      <c r="C821" s="78"/>
      <c r="D821" s="5"/>
      <c r="E821" s="5"/>
      <c r="F821" s="5"/>
      <c r="G821" s="5"/>
      <c r="H821" s="5"/>
      <c r="I821" s="5"/>
      <c r="J821" s="5"/>
      <c r="K821" s="5"/>
      <c r="L821" s="5">
        <v>6</v>
      </c>
      <c r="M821" s="196"/>
      <c r="N821" s="5">
        <f t="shared" ref="N821:V821" si="219">N822+N823+N824+N825+N826+N827+N828</f>
        <v>10689.500000000002</v>
      </c>
      <c r="O821" s="5">
        <f t="shared" si="219"/>
        <v>10629.500000000002</v>
      </c>
      <c r="P821" s="5">
        <f t="shared" si="219"/>
        <v>0</v>
      </c>
      <c r="Q821" s="5">
        <f t="shared" si="219"/>
        <v>0</v>
      </c>
      <c r="R821" s="5">
        <f t="shared" si="219"/>
        <v>10689.500000000002</v>
      </c>
      <c r="S821" s="5">
        <f t="shared" si="219"/>
        <v>10629.500000000002</v>
      </c>
      <c r="T821" s="5">
        <f t="shared" si="219"/>
        <v>0</v>
      </c>
      <c r="U821" s="5"/>
      <c r="V821" s="5">
        <f t="shared" si="219"/>
        <v>0</v>
      </c>
      <c r="W821" s="5"/>
      <c r="X821" s="5">
        <f t="shared" ref="X821:AQ821" si="220">X822+X823+X824+X825+X826+X827+X828</f>
        <v>11712.8</v>
      </c>
      <c r="Y821" s="5">
        <f t="shared" si="220"/>
        <v>0</v>
      </c>
      <c r="Z821" s="5">
        <f t="shared" si="220"/>
        <v>11712.8</v>
      </c>
      <c r="AA821" s="5">
        <f t="shared" si="220"/>
        <v>0</v>
      </c>
      <c r="AB821" s="5">
        <f t="shared" si="220"/>
        <v>0</v>
      </c>
      <c r="AC821" s="5">
        <f t="shared" si="220"/>
        <v>11712.699999999999</v>
      </c>
      <c r="AD821" s="5">
        <f t="shared" si="220"/>
        <v>0</v>
      </c>
      <c r="AE821" s="5">
        <f t="shared" si="220"/>
        <v>11712.699999999999</v>
      </c>
      <c r="AF821" s="5">
        <f t="shared" si="220"/>
        <v>0</v>
      </c>
      <c r="AG821" s="5">
        <f t="shared" si="220"/>
        <v>0</v>
      </c>
      <c r="AH821" s="5">
        <f t="shared" si="220"/>
        <v>11712.699999999999</v>
      </c>
      <c r="AI821" s="5">
        <f t="shared" si="220"/>
        <v>0</v>
      </c>
      <c r="AJ821" s="5">
        <f t="shared" si="220"/>
        <v>11712.699999999999</v>
      </c>
      <c r="AK821" s="5">
        <f t="shared" si="220"/>
        <v>0</v>
      </c>
      <c r="AL821" s="5">
        <f t="shared" si="220"/>
        <v>0</v>
      </c>
      <c r="AM821" s="5">
        <f t="shared" si="220"/>
        <v>11712.699999999999</v>
      </c>
      <c r="AN821" s="5">
        <f t="shared" si="220"/>
        <v>0</v>
      </c>
      <c r="AO821" s="5">
        <f t="shared" si="220"/>
        <v>11712.699999999999</v>
      </c>
      <c r="AP821" s="5">
        <f t="shared" si="220"/>
        <v>0</v>
      </c>
      <c r="AQ821" s="5">
        <f t="shared" si="220"/>
        <v>0</v>
      </c>
    </row>
    <row r="822" spans="1:43" ht="35.450000000000003" customHeight="1" thickBot="1">
      <c r="A822" s="72" t="s">
        <v>869</v>
      </c>
      <c r="B822" s="80"/>
      <c r="C822" s="84" t="s">
        <v>962</v>
      </c>
      <c r="D822" s="84" t="s">
        <v>1140</v>
      </c>
      <c r="E822" s="84" t="s">
        <v>964</v>
      </c>
      <c r="F822" s="131" t="s">
        <v>1141</v>
      </c>
      <c r="G822" s="64" t="s">
        <v>277</v>
      </c>
      <c r="H822" s="87"/>
      <c r="I822" s="208" t="s">
        <v>1261</v>
      </c>
      <c r="J822" s="64" t="s">
        <v>277</v>
      </c>
      <c r="K822" s="87"/>
      <c r="L822" s="3"/>
      <c r="M822" s="196" t="s">
        <v>1142</v>
      </c>
      <c r="N822" s="3">
        <f t="shared" ref="N822:N828" si="221">P822+R822+T822+V822</f>
        <v>0</v>
      </c>
      <c r="O822" s="3">
        <f>Q822+S822</f>
        <v>0</v>
      </c>
      <c r="P822" s="3"/>
      <c r="Q822" s="3"/>
      <c r="R822" s="3">
        <v>0</v>
      </c>
      <c r="S822" s="3"/>
      <c r="T822" s="3"/>
      <c r="U822" s="3"/>
      <c r="V822" s="3"/>
      <c r="W822" s="3"/>
      <c r="X822" s="3">
        <f>Y822+Z822+AA822+AB822</f>
        <v>0</v>
      </c>
      <c r="Y822" s="3"/>
      <c r="Z822" s="3">
        <v>0</v>
      </c>
      <c r="AA822" s="3"/>
      <c r="AB822" s="3"/>
      <c r="AC822" s="3">
        <f>AD822+AE822+AF822+AG822</f>
        <v>0</v>
      </c>
      <c r="AD822" s="3"/>
      <c r="AE822" s="3">
        <v>0</v>
      </c>
      <c r="AF822" s="3"/>
      <c r="AG822" s="3"/>
      <c r="AH822" s="3">
        <f>AI822+AJ822+AK822+AL822</f>
        <v>0</v>
      </c>
      <c r="AI822" s="3"/>
      <c r="AJ822" s="3">
        <v>0</v>
      </c>
      <c r="AK822" s="3"/>
      <c r="AL822" s="3"/>
      <c r="AM822" s="3">
        <f>AN822+AO822+AP822+AQ822</f>
        <v>0</v>
      </c>
      <c r="AN822" s="3"/>
      <c r="AO822" s="3">
        <v>0</v>
      </c>
      <c r="AP822" s="3"/>
      <c r="AQ822" s="3"/>
    </row>
    <row r="823" spans="1:43" ht="35.450000000000003" customHeight="1" thickBot="1">
      <c r="A823" s="72" t="s">
        <v>869</v>
      </c>
      <c r="B823" s="80"/>
      <c r="C823" s="64"/>
      <c r="D823" s="64"/>
      <c r="E823" s="64"/>
      <c r="F823" s="131"/>
      <c r="G823" s="64"/>
      <c r="H823" s="87"/>
      <c r="I823" s="208"/>
      <c r="J823" s="64"/>
      <c r="K823" s="87"/>
      <c r="L823" s="3"/>
      <c r="M823" s="196" t="s">
        <v>1143</v>
      </c>
      <c r="N823" s="3">
        <f t="shared" si="221"/>
        <v>198.79999999999998</v>
      </c>
      <c r="O823" s="3">
        <f t="shared" ref="O823:O828" si="222">Q823+S823</f>
        <v>198.8</v>
      </c>
      <c r="P823" s="3"/>
      <c r="Q823" s="3"/>
      <c r="R823" s="3">
        <f>209.6-10.8</f>
        <v>198.79999999999998</v>
      </c>
      <c r="S823" s="3">
        <v>198.8</v>
      </c>
      <c r="T823" s="3"/>
      <c r="U823" s="3"/>
      <c r="V823" s="3"/>
      <c r="W823" s="3"/>
      <c r="X823" s="3">
        <f t="shared" ref="X823:X828" si="223">Y823+Z823+AA823+AB823</f>
        <v>229.7</v>
      </c>
      <c r="Y823" s="3"/>
      <c r="Z823" s="3">
        <v>229.7</v>
      </c>
      <c r="AA823" s="3"/>
      <c r="AB823" s="3"/>
      <c r="AC823" s="3">
        <f t="shared" ref="AC823:AC828" si="224">AD823+AE823+AF823+AG823</f>
        <v>229.7</v>
      </c>
      <c r="AD823" s="3"/>
      <c r="AE823" s="3">
        <v>229.7</v>
      </c>
      <c r="AF823" s="3"/>
      <c r="AG823" s="3"/>
      <c r="AH823" s="3">
        <f t="shared" ref="AH823:AH828" si="225">AI823+AJ823+AK823+AL823</f>
        <v>229.7</v>
      </c>
      <c r="AI823" s="3"/>
      <c r="AJ823" s="3">
        <v>229.7</v>
      </c>
      <c r="AK823" s="3"/>
      <c r="AL823" s="3"/>
      <c r="AM823" s="3">
        <f t="shared" ref="AM823:AM828" si="226">AN823+AO823+AP823+AQ823</f>
        <v>229.7</v>
      </c>
      <c r="AN823" s="3"/>
      <c r="AO823" s="3">
        <v>229.7</v>
      </c>
      <c r="AP823" s="3"/>
      <c r="AQ823" s="3"/>
    </row>
    <row r="824" spans="1:43" ht="35.450000000000003" customHeight="1" thickBot="1">
      <c r="A824" s="72" t="s">
        <v>869</v>
      </c>
      <c r="B824" s="80"/>
      <c r="C824" s="64"/>
      <c r="D824" s="64"/>
      <c r="E824" s="64"/>
      <c r="F824" s="131"/>
      <c r="G824" s="64"/>
      <c r="H824" s="87"/>
      <c r="I824" s="208"/>
      <c r="J824" s="64"/>
      <c r="K824" s="87"/>
      <c r="L824" s="3"/>
      <c r="M824" s="196" t="s">
        <v>1144</v>
      </c>
      <c r="N824" s="3">
        <f t="shared" si="221"/>
        <v>0</v>
      </c>
      <c r="O824" s="3">
        <f t="shared" si="222"/>
        <v>0</v>
      </c>
      <c r="P824" s="3"/>
      <c r="Q824" s="3"/>
      <c r="R824" s="3">
        <f>205.8-205.8</f>
        <v>0</v>
      </c>
      <c r="S824" s="3"/>
      <c r="T824" s="3"/>
      <c r="U824" s="3"/>
      <c r="V824" s="3"/>
      <c r="W824" s="3"/>
      <c r="X824" s="3">
        <f t="shared" si="223"/>
        <v>51.599999999999994</v>
      </c>
      <c r="Y824" s="3"/>
      <c r="Z824" s="3">
        <f>220.1+0.1-50-118.6</f>
        <v>51.599999999999994</v>
      </c>
      <c r="AA824" s="3"/>
      <c r="AB824" s="3"/>
      <c r="AC824" s="3">
        <f t="shared" si="224"/>
        <v>220.2</v>
      </c>
      <c r="AD824" s="3"/>
      <c r="AE824" s="3">
        <v>220.2</v>
      </c>
      <c r="AF824" s="3"/>
      <c r="AG824" s="3"/>
      <c r="AH824" s="3">
        <f t="shared" si="225"/>
        <v>220.2</v>
      </c>
      <c r="AI824" s="3"/>
      <c r="AJ824" s="3">
        <v>220.2</v>
      </c>
      <c r="AK824" s="3"/>
      <c r="AL824" s="3"/>
      <c r="AM824" s="3">
        <f t="shared" si="226"/>
        <v>220.2</v>
      </c>
      <c r="AN824" s="3"/>
      <c r="AO824" s="3">
        <v>220.2</v>
      </c>
      <c r="AP824" s="3"/>
      <c r="AQ824" s="3"/>
    </row>
    <row r="825" spans="1:43" ht="35.450000000000003" customHeight="1" thickBot="1">
      <c r="A825" s="72" t="s">
        <v>869</v>
      </c>
      <c r="B825" s="80"/>
      <c r="C825" s="64"/>
      <c r="D825" s="64"/>
      <c r="E825" s="64"/>
      <c r="F825" s="131"/>
      <c r="G825" s="64"/>
      <c r="H825" s="87"/>
      <c r="I825" s="208"/>
      <c r="J825" s="64"/>
      <c r="K825" s="87"/>
      <c r="L825" s="3"/>
      <c r="M825" s="196" t="s">
        <v>1145</v>
      </c>
      <c r="N825" s="3">
        <f t="shared" si="221"/>
        <v>6635.6</v>
      </c>
      <c r="O825" s="3">
        <f t="shared" si="222"/>
        <v>6589.6</v>
      </c>
      <c r="P825" s="3"/>
      <c r="Q825" s="3"/>
      <c r="R825" s="3">
        <f>6314+321.6</f>
        <v>6635.6</v>
      </c>
      <c r="S825" s="3">
        <v>6589.6</v>
      </c>
      <c r="T825" s="3"/>
      <c r="U825" s="3"/>
      <c r="V825" s="3"/>
      <c r="W825" s="3"/>
      <c r="X825" s="3">
        <f t="shared" si="223"/>
        <v>7414.4999999999991</v>
      </c>
      <c r="Y825" s="3"/>
      <c r="Z825" s="3">
        <f>7214.7+50-0.1+149.9</f>
        <v>7414.4999999999991</v>
      </c>
      <c r="AA825" s="3"/>
      <c r="AB825" s="3"/>
      <c r="AC825" s="3">
        <f t="shared" si="224"/>
        <v>7214.7</v>
      </c>
      <c r="AD825" s="3"/>
      <c r="AE825" s="3">
        <v>7214.7</v>
      </c>
      <c r="AF825" s="3"/>
      <c r="AG825" s="3"/>
      <c r="AH825" s="3">
        <f t="shared" si="225"/>
        <v>7214.7</v>
      </c>
      <c r="AI825" s="3"/>
      <c r="AJ825" s="3">
        <v>7214.7</v>
      </c>
      <c r="AK825" s="3"/>
      <c r="AL825" s="3"/>
      <c r="AM825" s="3">
        <f t="shared" si="226"/>
        <v>7214.7</v>
      </c>
      <c r="AN825" s="3"/>
      <c r="AO825" s="3">
        <v>7214.7</v>
      </c>
      <c r="AP825" s="3"/>
      <c r="AQ825" s="3"/>
    </row>
    <row r="826" spans="1:43" ht="35.450000000000003" customHeight="1" thickBot="1">
      <c r="A826" s="72" t="s">
        <v>869</v>
      </c>
      <c r="B826" s="80"/>
      <c r="C826" s="64"/>
      <c r="D826" s="64"/>
      <c r="E826" s="64"/>
      <c r="F826" s="131"/>
      <c r="G826" s="64"/>
      <c r="H826" s="87"/>
      <c r="I826" s="208"/>
      <c r="J826" s="64"/>
      <c r="K826" s="87"/>
      <c r="L826" s="3"/>
      <c r="M826" s="196" t="s">
        <v>1146</v>
      </c>
      <c r="N826" s="3">
        <f t="shared" si="221"/>
        <v>2842.5</v>
      </c>
      <c r="O826" s="3">
        <f t="shared" si="222"/>
        <v>2828.5</v>
      </c>
      <c r="P826" s="3"/>
      <c r="Q826" s="3"/>
      <c r="R826" s="3">
        <f>3055.9-316.6+103.2</f>
        <v>2842.5</v>
      </c>
      <c r="S826" s="3">
        <v>2828.5</v>
      </c>
      <c r="T826" s="3"/>
      <c r="U826" s="3"/>
      <c r="V826" s="3"/>
      <c r="W826" s="3"/>
      <c r="X826" s="3">
        <f t="shared" si="223"/>
        <v>3248.1000000000004</v>
      </c>
      <c r="Y826" s="3"/>
      <c r="Z826" s="3">
        <f>2984.8+300-36.7</f>
        <v>3248.1000000000004</v>
      </c>
      <c r="AA826" s="3"/>
      <c r="AB826" s="3"/>
      <c r="AC826" s="3">
        <f t="shared" si="224"/>
        <v>2984.8</v>
      </c>
      <c r="AD826" s="3"/>
      <c r="AE826" s="3">
        <v>2984.8</v>
      </c>
      <c r="AF826" s="3"/>
      <c r="AG826" s="3"/>
      <c r="AH826" s="3">
        <f t="shared" si="225"/>
        <v>2984.8</v>
      </c>
      <c r="AI826" s="3"/>
      <c r="AJ826" s="3">
        <v>2984.8</v>
      </c>
      <c r="AK826" s="3"/>
      <c r="AL826" s="3"/>
      <c r="AM826" s="3">
        <f t="shared" si="226"/>
        <v>2984.8</v>
      </c>
      <c r="AN826" s="3"/>
      <c r="AO826" s="3">
        <v>2984.8</v>
      </c>
      <c r="AP826" s="3"/>
      <c r="AQ826" s="3"/>
    </row>
    <row r="827" spans="1:43" ht="35.450000000000003" customHeight="1" thickBot="1">
      <c r="A827" s="72" t="s">
        <v>869</v>
      </c>
      <c r="B827" s="80"/>
      <c r="C827" s="64"/>
      <c r="D827" s="64"/>
      <c r="E827" s="64"/>
      <c r="F827" s="131"/>
      <c r="G827" s="64"/>
      <c r="H827" s="87"/>
      <c r="I827" s="208"/>
      <c r="J827" s="64"/>
      <c r="K827" s="87"/>
      <c r="L827" s="3"/>
      <c r="M827" s="196" t="s">
        <v>1147</v>
      </c>
      <c r="N827" s="3">
        <f t="shared" si="221"/>
        <v>1012.5999999999999</v>
      </c>
      <c r="O827" s="3">
        <f t="shared" si="222"/>
        <v>1012.6</v>
      </c>
      <c r="P827" s="3"/>
      <c r="Q827" s="3"/>
      <c r="R827" s="3">
        <f>708.3+316.5+0.1-12.3</f>
        <v>1012.5999999999999</v>
      </c>
      <c r="S827" s="3">
        <v>1012.6</v>
      </c>
      <c r="T827" s="3"/>
      <c r="U827" s="3"/>
      <c r="V827" s="3"/>
      <c r="W827" s="3"/>
      <c r="X827" s="3">
        <f t="shared" si="223"/>
        <v>768.9</v>
      </c>
      <c r="Y827" s="3"/>
      <c r="Z827" s="3">
        <f>1063.3-300+5.6</f>
        <v>768.9</v>
      </c>
      <c r="AA827" s="3"/>
      <c r="AB827" s="3"/>
      <c r="AC827" s="3">
        <f t="shared" si="224"/>
        <v>1063.3</v>
      </c>
      <c r="AD827" s="3"/>
      <c r="AE827" s="3">
        <v>1063.3</v>
      </c>
      <c r="AF827" s="3"/>
      <c r="AG827" s="3"/>
      <c r="AH827" s="3">
        <f t="shared" si="225"/>
        <v>1063.3</v>
      </c>
      <c r="AI827" s="3"/>
      <c r="AJ827" s="3">
        <v>1063.3</v>
      </c>
      <c r="AK827" s="3"/>
      <c r="AL827" s="3"/>
      <c r="AM827" s="3">
        <f t="shared" si="226"/>
        <v>1063.3</v>
      </c>
      <c r="AN827" s="3"/>
      <c r="AO827" s="3">
        <v>1063.3</v>
      </c>
      <c r="AP827" s="3"/>
      <c r="AQ827" s="3"/>
    </row>
    <row r="828" spans="1:43" ht="35.450000000000003" customHeight="1" thickBot="1">
      <c r="A828" s="72" t="s">
        <v>869</v>
      </c>
      <c r="B828" s="80"/>
      <c r="C828" s="64"/>
      <c r="D828" s="64"/>
      <c r="E828" s="64"/>
      <c r="F828" s="131"/>
      <c r="G828" s="64"/>
      <c r="H828" s="87"/>
      <c r="I828" s="208"/>
      <c r="J828" s="64"/>
      <c r="K828" s="87"/>
      <c r="L828" s="3"/>
      <c r="M828" s="196"/>
      <c r="N828" s="3">
        <f t="shared" si="221"/>
        <v>0</v>
      </c>
      <c r="O828" s="3">
        <f t="shared" si="222"/>
        <v>0</v>
      </c>
      <c r="P828" s="3"/>
      <c r="Q828" s="3"/>
      <c r="R828" s="3">
        <f>195.9-195.9</f>
        <v>0</v>
      </c>
      <c r="S828" s="3"/>
      <c r="T828" s="3"/>
      <c r="U828" s="3"/>
      <c r="V828" s="3"/>
      <c r="W828" s="3"/>
      <c r="X828" s="3">
        <f t="shared" si="223"/>
        <v>0</v>
      </c>
      <c r="Y828" s="3"/>
      <c r="Z828" s="3">
        <v>0</v>
      </c>
      <c r="AA828" s="3"/>
      <c r="AB828" s="3"/>
      <c r="AC828" s="3">
        <f t="shared" si="224"/>
        <v>0</v>
      </c>
      <c r="AD828" s="3"/>
      <c r="AE828" s="3">
        <v>0</v>
      </c>
      <c r="AF828" s="3"/>
      <c r="AG828" s="3"/>
      <c r="AH828" s="3">
        <f t="shared" si="225"/>
        <v>0</v>
      </c>
      <c r="AI828" s="3"/>
      <c r="AJ828" s="3">
        <v>0</v>
      </c>
      <c r="AK828" s="3"/>
      <c r="AL828" s="3"/>
      <c r="AM828" s="3">
        <f t="shared" si="226"/>
        <v>0</v>
      </c>
      <c r="AN828" s="3"/>
      <c r="AO828" s="3">
        <v>0</v>
      </c>
      <c r="AP828" s="3"/>
      <c r="AQ828" s="3"/>
    </row>
    <row r="829" spans="1:43" ht="35.450000000000003" customHeight="1" thickBot="1">
      <c r="A829" s="72" t="s">
        <v>1148</v>
      </c>
      <c r="B829" s="80">
        <v>3245</v>
      </c>
      <c r="C829" s="71"/>
      <c r="D829" s="3"/>
      <c r="E829" s="3"/>
      <c r="F829" s="3"/>
      <c r="G829" s="3"/>
      <c r="H829" s="3"/>
      <c r="I829" s="3"/>
      <c r="J829" s="3"/>
      <c r="K829" s="3"/>
      <c r="L829" s="3"/>
      <c r="M829" s="196"/>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row>
    <row r="830" spans="1:43" ht="35.450000000000003" customHeight="1" thickBot="1">
      <c r="A830" s="76" t="s">
        <v>1149</v>
      </c>
      <c r="B830" s="217">
        <v>3260</v>
      </c>
      <c r="C830" s="78"/>
      <c r="D830" s="5"/>
      <c r="E830" s="5"/>
      <c r="F830" s="5"/>
      <c r="G830" s="5"/>
      <c r="H830" s="5"/>
      <c r="I830" s="5"/>
      <c r="J830" s="5"/>
      <c r="K830" s="5"/>
      <c r="L830" s="5">
        <v>5</v>
      </c>
      <c r="M830" s="196"/>
      <c r="N830" s="5">
        <f t="shared" ref="N830:V830" si="227">N832+N831</f>
        <v>2019.2999999999997</v>
      </c>
      <c r="O830" s="5">
        <f t="shared" si="227"/>
        <v>1986.8</v>
      </c>
      <c r="P830" s="5">
        <f t="shared" si="227"/>
        <v>0</v>
      </c>
      <c r="Q830" s="5">
        <f t="shared" si="227"/>
        <v>0</v>
      </c>
      <c r="R830" s="5">
        <f t="shared" si="227"/>
        <v>2019.2999999999997</v>
      </c>
      <c r="S830" s="5">
        <f t="shared" si="227"/>
        <v>1986.8</v>
      </c>
      <c r="T830" s="5">
        <f t="shared" si="227"/>
        <v>0</v>
      </c>
      <c r="U830" s="5"/>
      <c r="V830" s="5">
        <f t="shared" si="227"/>
        <v>0</v>
      </c>
      <c r="W830" s="5"/>
      <c r="X830" s="5">
        <f t="shared" ref="X830:AQ830" si="228">X832+X831</f>
        <v>139.09999999999991</v>
      </c>
      <c r="Y830" s="5">
        <f t="shared" si="228"/>
        <v>0</v>
      </c>
      <c r="Z830" s="5">
        <f t="shared" si="228"/>
        <v>139.09999999999991</v>
      </c>
      <c r="AA830" s="5">
        <f t="shared" si="228"/>
        <v>0</v>
      </c>
      <c r="AB830" s="5">
        <f t="shared" si="228"/>
        <v>0</v>
      </c>
      <c r="AC830" s="5">
        <f t="shared" si="228"/>
        <v>140</v>
      </c>
      <c r="AD830" s="5">
        <f t="shared" si="228"/>
        <v>0</v>
      </c>
      <c r="AE830" s="5">
        <f t="shared" si="228"/>
        <v>140</v>
      </c>
      <c r="AF830" s="5">
        <f t="shared" si="228"/>
        <v>0</v>
      </c>
      <c r="AG830" s="5">
        <f t="shared" si="228"/>
        <v>0</v>
      </c>
      <c r="AH830" s="5">
        <f t="shared" si="228"/>
        <v>140</v>
      </c>
      <c r="AI830" s="5">
        <f t="shared" si="228"/>
        <v>0</v>
      </c>
      <c r="AJ830" s="5">
        <f t="shared" si="228"/>
        <v>140</v>
      </c>
      <c r="AK830" s="5">
        <f t="shared" si="228"/>
        <v>0</v>
      </c>
      <c r="AL830" s="5">
        <f t="shared" si="228"/>
        <v>0</v>
      </c>
      <c r="AM830" s="5">
        <f t="shared" si="228"/>
        <v>140</v>
      </c>
      <c r="AN830" s="5">
        <f t="shared" si="228"/>
        <v>0</v>
      </c>
      <c r="AO830" s="5">
        <f t="shared" si="228"/>
        <v>140</v>
      </c>
      <c r="AP830" s="5">
        <f t="shared" si="228"/>
        <v>0</v>
      </c>
      <c r="AQ830" s="5">
        <f t="shared" si="228"/>
        <v>0</v>
      </c>
    </row>
    <row r="831" spans="1:43" ht="35.450000000000003" customHeight="1" thickBot="1">
      <c r="A831" s="72" t="s">
        <v>65</v>
      </c>
      <c r="B831" s="80"/>
      <c r="C831" s="84" t="s">
        <v>962</v>
      </c>
      <c r="D831" s="84" t="s">
        <v>1150</v>
      </c>
      <c r="E831" s="84" t="s">
        <v>964</v>
      </c>
      <c r="F831" s="1" t="s">
        <v>1151</v>
      </c>
      <c r="G831" s="2" t="s">
        <v>19</v>
      </c>
      <c r="H831" s="1" t="s">
        <v>1152</v>
      </c>
      <c r="I831" s="3"/>
      <c r="J831" s="3"/>
      <c r="K831" s="3"/>
      <c r="L831" s="3"/>
      <c r="M831" s="196" t="s">
        <v>1153</v>
      </c>
      <c r="N831" s="3">
        <f>R831</f>
        <v>0</v>
      </c>
      <c r="O831" s="3">
        <f>Q831+S831</f>
        <v>0</v>
      </c>
      <c r="P831" s="3"/>
      <c r="Q831" s="3"/>
      <c r="R831" s="3"/>
      <c r="S831" s="3"/>
      <c r="T831" s="3"/>
      <c r="U831" s="3"/>
      <c r="V831" s="3"/>
      <c r="W831" s="3"/>
      <c r="X831" s="3">
        <f>Z831</f>
        <v>0</v>
      </c>
      <c r="Y831" s="3"/>
      <c r="Z831" s="3"/>
      <c r="AA831" s="3"/>
      <c r="AB831" s="3"/>
      <c r="AC831" s="3">
        <f>AE831</f>
        <v>0</v>
      </c>
      <c r="AD831" s="3"/>
      <c r="AE831" s="3"/>
      <c r="AF831" s="3"/>
      <c r="AG831" s="3"/>
      <c r="AH831" s="3">
        <f>AJ831</f>
        <v>0</v>
      </c>
      <c r="AI831" s="3"/>
      <c r="AJ831" s="3"/>
      <c r="AK831" s="3"/>
      <c r="AL831" s="3"/>
      <c r="AM831" s="3">
        <f>AO831</f>
        <v>0</v>
      </c>
      <c r="AN831" s="3"/>
      <c r="AO831" s="3"/>
      <c r="AP831" s="3"/>
      <c r="AQ831" s="3"/>
    </row>
    <row r="832" spans="1:43" ht="35.450000000000003" customHeight="1" thickBot="1">
      <c r="A832" s="72" t="s">
        <v>65</v>
      </c>
      <c r="B832" s="80"/>
      <c r="C832" s="100"/>
      <c r="D832" s="124"/>
      <c r="E832" s="125"/>
      <c r="F832" s="4" t="s">
        <v>1154</v>
      </c>
      <c r="G832" s="4"/>
      <c r="H832" s="4"/>
      <c r="I832" s="4" t="s">
        <v>1155</v>
      </c>
      <c r="J832" s="4" t="s">
        <v>153</v>
      </c>
      <c r="K832" s="4"/>
      <c r="L832" s="4"/>
      <c r="M832" s="196" t="s">
        <v>1156</v>
      </c>
      <c r="N832" s="3">
        <f>P832+R832+T832+V832</f>
        <v>2019.2999999999997</v>
      </c>
      <c r="O832" s="3">
        <f>Q832+S832</f>
        <v>1986.8</v>
      </c>
      <c r="P832" s="3"/>
      <c r="Q832" s="3"/>
      <c r="R832" s="3">
        <f>4570.7-745.3-1806.1</f>
        <v>2019.2999999999997</v>
      </c>
      <c r="S832" s="3">
        <v>1986.8</v>
      </c>
      <c r="T832" s="3"/>
      <c r="U832" s="3"/>
      <c r="V832" s="3"/>
      <c r="W832" s="3"/>
      <c r="X832" s="3">
        <f>Y832+Z832+AA832+AB832</f>
        <v>139.09999999999991</v>
      </c>
      <c r="Y832" s="3"/>
      <c r="Z832" s="3">
        <f>3818.6-3669-10.5</f>
        <v>139.09999999999991</v>
      </c>
      <c r="AA832" s="3"/>
      <c r="AB832" s="3"/>
      <c r="AC832" s="3">
        <f>AD832+AE832+AF832+AG832</f>
        <v>140</v>
      </c>
      <c r="AD832" s="3"/>
      <c r="AE832" s="3">
        <f>3818.6-3678.6</f>
        <v>140</v>
      </c>
      <c r="AF832" s="3"/>
      <c r="AG832" s="3"/>
      <c r="AH832" s="3">
        <f>AI832+AJ832+AK832+AL832</f>
        <v>140</v>
      </c>
      <c r="AI832" s="3"/>
      <c r="AJ832" s="3">
        <f>3818.6-3678.6</f>
        <v>140</v>
      </c>
      <c r="AK832" s="3"/>
      <c r="AL832" s="3"/>
      <c r="AM832" s="3">
        <f>AN832+AO832+AP832+AQ832</f>
        <v>140</v>
      </c>
      <c r="AN832" s="3"/>
      <c r="AO832" s="3">
        <f>3818.6-3678.6</f>
        <v>140</v>
      </c>
      <c r="AP832" s="3"/>
      <c r="AQ832" s="3"/>
    </row>
    <row r="833" spans="1:43" ht="35.450000000000003" customHeight="1" thickBot="1">
      <c r="A833" s="425" t="s">
        <v>1157</v>
      </c>
      <c r="B833" s="217">
        <v>3285.1</v>
      </c>
      <c r="C833" s="78"/>
      <c r="D833" s="5"/>
      <c r="E833" s="5"/>
      <c r="F833" s="5"/>
      <c r="G833" s="5"/>
      <c r="H833" s="5"/>
      <c r="I833" s="5"/>
      <c r="J833" s="5"/>
      <c r="K833" s="5"/>
      <c r="L833" s="5">
        <v>14</v>
      </c>
      <c r="M833" s="399"/>
      <c r="N833" s="5">
        <f t="shared" ref="N833:V833" si="229">N835+N834</f>
        <v>1010.7</v>
      </c>
      <c r="O833" s="5">
        <f t="shared" si="229"/>
        <v>325</v>
      </c>
      <c r="P833" s="5">
        <f t="shared" si="229"/>
        <v>0</v>
      </c>
      <c r="Q833" s="5">
        <f t="shared" si="229"/>
        <v>0</v>
      </c>
      <c r="R833" s="5">
        <f t="shared" si="229"/>
        <v>1010.7</v>
      </c>
      <c r="S833" s="5">
        <f t="shared" si="229"/>
        <v>325</v>
      </c>
      <c r="T833" s="5">
        <f t="shared" si="229"/>
        <v>0</v>
      </c>
      <c r="U833" s="5"/>
      <c r="V833" s="5">
        <f t="shared" si="229"/>
        <v>0</v>
      </c>
      <c r="W833" s="5"/>
      <c r="X833" s="5">
        <f t="shared" ref="X833:AQ833" si="230">X835+X834</f>
        <v>834.1</v>
      </c>
      <c r="Y833" s="5">
        <f t="shared" si="230"/>
        <v>0</v>
      </c>
      <c r="Z833" s="5">
        <f t="shared" si="230"/>
        <v>834.1</v>
      </c>
      <c r="AA833" s="5">
        <f t="shared" si="230"/>
        <v>0</v>
      </c>
      <c r="AB833" s="5">
        <f t="shared" si="230"/>
        <v>0</v>
      </c>
      <c r="AC833" s="5">
        <f t="shared" si="230"/>
        <v>927.40000000000009</v>
      </c>
      <c r="AD833" s="5">
        <f t="shared" si="230"/>
        <v>0</v>
      </c>
      <c r="AE833" s="5">
        <f t="shared" si="230"/>
        <v>927.40000000000009</v>
      </c>
      <c r="AF833" s="5">
        <f t="shared" si="230"/>
        <v>0</v>
      </c>
      <c r="AG833" s="5">
        <f t="shared" si="230"/>
        <v>0</v>
      </c>
      <c r="AH833" s="5">
        <f t="shared" si="230"/>
        <v>927.40000000000009</v>
      </c>
      <c r="AI833" s="5">
        <f t="shared" si="230"/>
        <v>0</v>
      </c>
      <c r="AJ833" s="5">
        <f t="shared" si="230"/>
        <v>927.40000000000009</v>
      </c>
      <c r="AK833" s="5">
        <f t="shared" si="230"/>
        <v>0</v>
      </c>
      <c r="AL833" s="5">
        <f t="shared" si="230"/>
        <v>0</v>
      </c>
      <c r="AM833" s="5">
        <f t="shared" si="230"/>
        <v>927.40000000000009</v>
      </c>
      <c r="AN833" s="5">
        <f t="shared" si="230"/>
        <v>0</v>
      </c>
      <c r="AO833" s="5">
        <f t="shared" si="230"/>
        <v>927.40000000000009</v>
      </c>
      <c r="AP833" s="5">
        <f t="shared" si="230"/>
        <v>0</v>
      </c>
      <c r="AQ833" s="5">
        <f t="shared" si="230"/>
        <v>0</v>
      </c>
    </row>
    <row r="834" spans="1:43" ht="35.450000000000003" customHeight="1" thickBot="1">
      <c r="A834" s="72" t="s">
        <v>1158</v>
      </c>
      <c r="B834" s="80"/>
      <c r="C834" s="81" t="s">
        <v>15</v>
      </c>
      <c r="D834" s="121" t="s">
        <v>110</v>
      </c>
      <c r="E834" s="122" t="s">
        <v>111</v>
      </c>
      <c r="F834" s="1" t="s">
        <v>1159</v>
      </c>
      <c r="G834" s="1" t="s">
        <v>19</v>
      </c>
      <c r="H834" s="1" t="s">
        <v>1160</v>
      </c>
      <c r="I834" s="3"/>
      <c r="J834" s="3"/>
      <c r="K834" s="3"/>
      <c r="L834" s="3"/>
      <c r="M834" s="196" t="s">
        <v>1161</v>
      </c>
      <c r="N834" s="3">
        <f>R834</f>
        <v>95.2</v>
      </c>
      <c r="O834" s="3">
        <f>Q834+S834</f>
        <v>95.2</v>
      </c>
      <c r="P834" s="5"/>
      <c r="Q834" s="5"/>
      <c r="R834" s="3">
        <v>95.2</v>
      </c>
      <c r="S834" s="3">
        <v>95.2</v>
      </c>
      <c r="T834" s="3"/>
      <c r="U834" s="3"/>
      <c r="V834" s="3"/>
      <c r="W834" s="3"/>
      <c r="X834" s="3">
        <f>Z834</f>
        <v>112</v>
      </c>
      <c r="Y834" s="5"/>
      <c r="Z834" s="3">
        <f>95.2+16.8</f>
        <v>112</v>
      </c>
      <c r="AA834" s="3"/>
      <c r="AB834" s="3"/>
      <c r="AC834" s="3">
        <f>AE834</f>
        <v>95.2</v>
      </c>
      <c r="AD834" s="5"/>
      <c r="AE834" s="3">
        <v>95.2</v>
      </c>
      <c r="AF834" s="3"/>
      <c r="AG834" s="3"/>
      <c r="AH834" s="3">
        <f>AJ834</f>
        <v>95.2</v>
      </c>
      <c r="AI834" s="3"/>
      <c r="AJ834" s="3">
        <v>95.2</v>
      </c>
      <c r="AK834" s="3"/>
      <c r="AL834" s="3"/>
      <c r="AM834" s="3">
        <f>AO834</f>
        <v>95.2</v>
      </c>
      <c r="AN834" s="3"/>
      <c r="AO834" s="3">
        <v>95.2</v>
      </c>
      <c r="AP834" s="5"/>
      <c r="AQ834" s="5"/>
    </row>
    <row r="835" spans="1:43" ht="35.450000000000003" customHeight="1" thickBot="1">
      <c r="A835" s="72" t="s">
        <v>65</v>
      </c>
      <c r="B835" s="80"/>
      <c r="C835" s="123"/>
      <c r="D835" s="124"/>
      <c r="E835" s="125"/>
      <c r="F835" s="3"/>
      <c r="G835" s="3"/>
      <c r="H835" s="3"/>
      <c r="I835" s="4"/>
      <c r="J835" s="3"/>
      <c r="K835" s="3"/>
      <c r="L835" s="3"/>
      <c r="M835" s="196" t="s">
        <v>1162</v>
      </c>
      <c r="N835" s="3">
        <f>P835+R835+T835+V835</f>
        <v>915.5</v>
      </c>
      <c r="O835" s="3">
        <f>Q835+S835</f>
        <v>229.8</v>
      </c>
      <c r="P835" s="3"/>
      <c r="Q835" s="3"/>
      <c r="R835" s="3">
        <v>915.5</v>
      </c>
      <c r="S835" s="3">
        <v>229.8</v>
      </c>
      <c r="T835" s="3"/>
      <c r="U835" s="3"/>
      <c r="V835" s="3"/>
      <c r="W835" s="3"/>
      <c r="X835" s="3">
        <f>Y835+Z835+AA835+AB835</f>
        <v>722.1</v>
      </c>
      <c r="Y835" s="3"/>
      <c r="Z835" s="3">
        <f>915.5-193.4</f>
        <v>722.1</v>
      </c>
      <c r="AA835" s="3"/>
      <c r="AB835" s="3"/>
      <c r="AC835" s="3">
        <f>AD835+AE835+AF835+AG835</f>
        <v>832.2</v>
      </c>
      <c r="AD835" s="3"/>
      <c r="AE835" s="3">
        <v>832.2</v>
      </c>
      <c r="AF835" s="3"/>
      <c r="AG835" s="3"/>
      <c r="AH835" s="3">
        <f>AI835+AJ835+AK835+AL835</f>
        <v>832.2</v>
      </c>
      <c r="AI835" s="3"/>
      <c r="AJ835" s="3">
        <v>832.2</v>
      </c>
      <c r="AK835" s="3"/>
      <c r="AL835" s="3"/>
      <c r="AM835" s="3">
        <f>AN835+AO835+AP835+AQ835</f>
        <v>832.2</v>
      </c>
      <c r="AN835" s="3"/>
      <c r="AO835" s="3">
        <v>832.2</v>
      </c>
      <c r="AP835" s="3"/>
      <c r="AQ835" s="3"/>
    </row>
    <row r="836" spans="1:43" ht="35.450000000000003" customHeight="1" thickBot="1">
      <c r="A836" s="72"/>
      <c r="B836" s="80"/>
      <c r="C836" s="84" t="s">
        <v>962</v>
      </c>
      <c r="D836" s="84" t="s">
        <v>1163</v>
      </c>
      <c r="E836" s="84" t="s">
        <v>964</v>
      </c>
      <c r="I836" s="207"/>
      <c r="J836" s="64"/>
      <c r="K836" s="208"/>
      <c r="L836" s="3"/>
      <c r="N836" s="3"/>
      <c r="O836" s="3"/>
      <c r="P836" s="3"/>
      <c r="Q836" s="3"/>
      <c r="R836" s="3"/>
      <c r="S836" s="3"/>
      <c r="T836" s="3"/>
      <c r="U836" s="3"/>
      <c r="V836" s="3"/>
      <c r="W836" s="3"/>
      <c r="X836" s="3"/>
      <c r="Y836" s="3"/>
      <c r="Z836" s="3"/>
      <c r="AA836" s="3"/>
      <c r="AB836" s="3"/>
      <c r="AC836" s="3"/>
      <c r="AD836" s="3"/>
      <c r="AE836" s="3"/>
      <c r="AF836" s="3"/>
      <c r="AG836" s="3"/>
      <c r="AH836" s="5"/>
      <c r="AI836" s="3"/>
      <c r="AJ836" s="3"/>
      <c r="AK836" s="3"/>
      <c r="AL836" s="3"/>
      <c r="AM836" s="5"/>
      <c r="AN836" s="3"/>
      <c r="AO836" s="3"/>
      <c r="AP836" s="3"/>
      <c r="AQ836" s="3"/>
    </row>
    <row r="837" spans="1:43" ht="35.450000000000003" customHeight="1" thickBot="1">
      <c r="A837" s="72"/>
      <c r="B837" s="80"/>
      <c r="C837" s="71"/>
      <c r="D837" s="3"/>
      <c r="E837" s="3"/>
      <c r="F837" s="4"/>
      <c r="G837" s="4"/>
      <c r="H837" s="4"/>
      <c r="I837" s="4"/>
      <c r="J837" s="4"/>
      <c r="K837" s="4"/>
      <c r="L837" s="4"/>
      <c r="M837" s="196"/>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row>
    <row r="838" spans="1:43" ht="35.450000000000003" customHeight="1" thickBot="1">
      <c r="A838" s="72"/>
      <c r="B838" s="80"/>
      <c r="C838" s="71"/>
      <c r="D838" s="3"/>
      <c r="E838" s="3"/>
      <c r="F838" s="4"/>
      <c r="G838" s="4"/>
      <c r="H838" s="4"/>
      <c r="I838" s="4"/>
      <c r="J838" s="4"/>
      <c r="K838" s="4"/>
      <c r="L838" s="4"/>
      <c r="M838" s="196"/>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row>
    <row r="839" spans="1:43" ht="35.450000000000003" customHeight="1" thickBot="1">
      <c r="A839" s="72"/>
      <c r="B839" s="80"/>
      <c r="C839" s="75" t="s">
        <v>8</v>
      </c>
      <c r="D839" s="75" t="s">
        <v>8</v>
      </c>
      <c r="E839" s="75" t="s">
        <v>8</v>
      </c>
      <c r="F839" s="75"/>
      <c r="G839" s="75"/>
      <c r="H839" s="75"/>
      <c r="I839" s="75" t="s">
        <v>8</v>
      </c>
      <c r="J839" s="75" t="s">
        <v>8</v>
      </c>
      <c r="K839" s="75" t="s">
        <v>8</v>
      </c>
      <c r="L839" s="75" t="s">
        <v>8</v>
      </c>
      <c r="M839" s="196"/>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row>
    <row r="840" spans="1:43" ht="35.450000000000003" customHeight="1">
      <c r="A840" s="69" t="s">
        <v>10</v>
      </c>
      <c r="B840" s="410">
        <v>3301</v>
      </c>
      <c r="C840" s="71"/>
      <c r="D840" s="3"/>
      <c r="E840" s="3"/>
      <c r="F840" s="3"/>
      <c r="G840" s="3"/>
      <c r="H840" s="3"/>
      <c r="I840" s="3"/>
      <c r="J840" s="3"/>
      <c r="K840" s="3"/>
      <c r="L840" s="3"/>
      <c r="M840" s="404" t="s">
        <v>8</v>
      </c>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row>
    <row r="841" spans="1:43" ht="35.450000000000003" customHeight="1">
      <c r="A841" s="406" t="s">
        <v>994</v>
      </c>
      <c r="B841" s="194"/>
      <c r="C841" s="71"/>
      <c r="D841" s="3"/>
      <c r="E841" s="3"/>
      <c r="F841" s="3"/>
      <c r="G841" s="3"/>
      <c r="H841" s="3"/>
      <c r="I841" s="3"/>
      <c r="J841" s="3"/>
      <c r="K841" s="3"/>
      <c r="L841" s="3"/>
      <c r="M841" s="399"/>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row>
    <row r="842" spans="1:43" ht="35.450000000000003" customHeight="1">
      <c r="A842" s="406" t="s">
        <v>994</v>
      </c>
      <c r="B842" s="318">
        <v>3302</v>
      </c>
      <c r="C842" s="71"/>
      <c r="D842" s="3"/>
      <c r="E842" s="3"/>
      <c r="F842" s="3"/>
      <c r="G842" s="3"/>
      <c r="H842" s="3"/>
      <c r="I842" s="3"/>
      <c r="J842" s="3"/>
      <c r="K842" s="3"/>
      <c r="L842" s="3"/>
      <c r="M842" s="399"/>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row>
    <row r="843" spans="1:43" ht="35.450000000000003" customHeight="1">
      <c r="A843" s="396" t="s">
        <v>1164</v>
      </c>
      <c r="B843" s="385">
        <v>3400</v>
      </c>
      <c r="C843" s="66" t="s">
        <v>8</v>
      </c>
      <c r="D843" s="66" t="s">
        <v>8</v>
      </c>
      <c r="E843" s="66" t="s">
        <v>8</v>
      </c>
      <c r="F843" s="66"/>
      <c r="G843" s="66"/>
      <c r="H843" s="66"/>
      <c r="I843" s="66" t="s">
        <v>8</v>
      </c>
      <c r="J843" s="66" t="s">
        <v>8</v>
      </c>
      <c r="K843" s="66" t="s">
        <v>8</v>
      </c>
      <c r="L843" s="66" t="s">
        <v>8</v>
      </c>
      <c r="M843" s="399"/>
      <c r="N843" s="5">
        <f>N845+N862+N872</f>
        <v>541857.6</v>
      </c>
      <c r="O843" s="5">
        <f t="shared" ref="O843:V843" si="231">O845+O862+O872</f>
        <v>540425.29999999993</v>
      </c>
      <c r="P843" s="5">
        <f t="shared" si="231"/>
        <v>0</v>
      </c>
      <c r="Q843" s="5">
        <f t="shared" si="231"/>
        <v>0</v>
      </c>
      <c r="R843" s="5">
        <f t="shared" si="231"/>
        <v>541857.6</v>
      </c>
      <c r="S843" s="5">
        <f t="shared" si="231"/>
        <v>540425.29999999993</v>
      </c>
      <c r="T843" s="5">
        <f t="shared" si="231"/>
        <v>0</v>
      </c>
      <c r="U843" s="5"/>
      <c r="V843" s="5">
        <f t="shared" si="231"/>
        <v>0</v>
      </c>
      <c r="W843" s="5"/>
      <c r="X843" s="5">
        <f t="shared" ref="X843:AQ843" si="232">X845+X862+X872</f>
        <v>628949.30000000005</v>
      </c>
      <c r="Y843" s="5">
        <f t="shared" si="232"/>
        <v>0</v>
      </c>
      <c r="Z843" s="5">
        <f t="shared" si="232"/>
        <v>628949.30000000005</v>
      </c>
      <c r="AA843" s="5">
        <f t="shared" si="232"/>
        <v>0</v>
      </c>
      <c r="AB843" s="5">
        <f t="shared" si="232"/>
        <v>0</v>
      </c>
      <c r="AC843" s="5">
        <f t="shared" si="232"/>
        <v>514605.29999999993</v>
      </c>
      <c r="AD843" s="5">
        <f t="shared" si="232"/>
        <v>0</v>
      </c>
      <c r="AE843" s="5">
        <f t="shared" si="232"/>
        <v>514605.29999999993</v>
      </c>
      <c r="AF843" s="5">
        <f t="shared" si="232"/>
        <v>0</v>
      </c>
      <c r="AG843" s="5">
        <f t="shared" si="232"/>
        <v>0</v>
      </c>
      <c r="AH843" s="5">
        <f t="shared" si="232"/>
        <v>514605.29999999993</v>
      </c>
      <c r="AI843" s="5">
        <f t="shared" si="232"/>
        <v>0</v>
      </c>
      <c r="AJ843" s="5">
        <f t="shared" si="232"/>
        <v>514605.29999999993</v>
      </c>
      <c r="AK843" s="5">
        <f t="shared" si="232"/>
        <v>0</v>
      </c>
      <c r="AL843" s="5">
        <f t="shared" si="232"/>
        <v>0</v>
      </c>
      <c r="AM843" s="5">
        <f t="shared" si="232"/>
        <v>514605.29999999993</v>
      </c>
      <c r="AN843" s="5">
        <f t="shared" si="232"/>
        <v>0</v>
      </c>
      <c r="AO843" s="5">
        <f t="shared" si="232"/>
        <v>514605.29999999993</v>
      </c>
      <c r="AP843" s="5">
        <f t="shared" si="232"/>
        <v>0</v>
      </c>
      <c r="AQ843" s="5">
        <f t="shared" si="232"/>
        <v>0</v>
      </c>
    </row>
    <row r="844" spans="1:43" ht="35.450000000000003" customHeight="1">
      <c r="A844" s="69" t="s">
        <v>10</v>
      </c>
      <c r="B844" s="410">
        <v>3401</v>
      </c>
      <c r="C844" s="71"/>
      <c r="D844" s="3"/>
      <c r="E844" s="3"/>
      <c r="F844" s="3"/>
      <c r="G844" s="3"/>
      <c r="H844" s="3"/>
      <c r="I844" s="3"/>
      <c r="J844" s="3"/>
      <c r="K844" s="3"/>
      <c r="L844" s="3"/>
      <c r="M844" s="397" t="s">
        <v>8</v>
      </c>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row>
    <row r="845" spans="1:43" ht="35.450000000000003" customHeight="1" thickBot="1">
      <c r="A845" s="76" t="s">
        <v>1165</v>
      </c>
      <c r="B845" s="390"/>
      <c r="C845" s="78"/>
      <c r="D845" s="5"/>
      <c r="E845" s="5"/>
      <c r="F845" s="5"/>
      <c r="G845" s="5"/>
      <c r="H845" s="5"/>
      <c r="I845" s="5"/>
      <c r="J845" s="5"/>
      <c r="K845" s="5"/>
      <c r="L845" s="5">
        <v>6</v>
      </c>
      <c r="M845" s="399"/>
      <c r="N845" s="5">
        <f>N846+N847+N848+N849+N850+N851+N852+N853+N854+N855+N857+N858+N860+N861</f>
        <v>275427.09999999998</v>
      </c>
      <c r="O845" s="5">
        <f t="shared" ref="O845:V845" si="233">O846+O847+O848+O849+O850+O851+O852+O853+O854+O855+O857+O858+O860+O861</f>
        <v>275427.09999999998</v>
      </c>
      <c r="P845" s="5">
        <f t="shared" si="233"/>
        <v>0</v>
      </c>
      <c r="Q845" s="5">
        <f t="shared" si="233"/>
        <v>0</v>
      </c>
      <c r="R845" s="5">
        <f t="shared" si="233"/>
        <v>275427.09999999998</v>
      </c>
      <c r="S845" s="5">
        <f t="shared" si="233"/>
        <v>275427.09999999998</v>
      </c>
      <c r="T845" s="5">
        <f t="shared" si="233"/>
        <v>0</v>
      </c>
      <c r="U845" s="5"/>
      <c r="V845" s="5">
        <f t="shared" si="233"/>
        <v>0</v>
      </c>
      <c r="W845" s="5"/>
      <c r="X845" s="5">
        <f t="shared" ref="X845:AQ845" si="234">X846+X847+X848+X849+X850+X851+X852+X853+X854+X855+X857+X858+X860+X861</f>
        <v>330292.70000000007</v>
      </c>
      <c r="Y845" s="5">
        <f t="shared" si="234"/>
        <v>0</v>
      </c>
      <c r="Z845" s="5">
        <f t="shared" si="234"/>
        <v>330292.70000000007</v>
      </c>
      <c r="AA845" s="5">
        <f t="shared" si="234"/>
        <v>0</v>
      </c>
      <c r="AB845" s="5">
        <f t="shared" si="234"/>
        <v>0</v>
      </c>
      <c r="AC845" s="5">
        <f t="shared" si="234"/>
        <v>260403.69999999998</v>
      </c>
      <c r="AD845" s="5">
        <f t="shared" si="234"/>
        <v>0</v>
      </c>
      <c r="AE845" s="5">
        <f t="shared" si="234"/>
        <v>260403.69999999998</v>
      </c>
      <c r="AF845" s="5">
        <f t="shared" si="234"/>
        <v>0</v>
      </c>
      <c r="AG845" s="5">
        <f t="shared" si="234"/>
        <v>0</v>
      </c>
      <c r="AH845" s="5">
        <f t="shared" si="234"/>
        <v>260403.69999999998</v>
      </c>
      <c r="AI845" s="5">
        <f t="shared" si="234"/>
        <v>0</v>
      </c>
      <c r="AJ845" s="5">
        <f t="shared" si="234"/>
        <v>260403.69999999998</v>
      </c>
      <c r="AK845" s="5">
        <f t="shared" si="234"/>
        <v>0</v>
      </c>
      <c r="AL845" s="5">
        <f t="shared" si="234"/>
        <v>0</v>
      </c>
      <c r="AM845" s="5">
        <f t="shared" si="234"/>
        <v>260403.69999999998</v>
      </c>
      <c r="AN845" s="5">
        <f t="shared" si="234"/>
        <v>0</v>
      </c>
      <c r="AO845" s="5">
        <f t="shared" si="234"/>
        <v>260403.69999999998</v>
      </c>
      <c r="AP845" s="5">
        <f t="shared" si="234"/>
        <v>0</v>
      </c>
      <c r="AQ845" s="5">
        <f t="shared" si="234"/>
        <v>0</v>
      </c>
    </row>
    <row r="846" spans="1:43" ht="35.450000000000003" customHeight="1" thickBot="1">
      <c r="A846" s="426" t="s">
        <v>869</v>
      </c>
      <c r="B846" s="318"/>
      <c r="C846" s="4" t="s">
        <v>311</v>
      </c>
      <c r="D846" s="4" t="s">
        <v>312</v>
      </c>
      <c r="E846" s="4" t="s">
        <v>313</v>
      </c>
      <c r="F846" s="4" t="s">
        <v>1166</v>
      </c>
      <c r="G846" s="4" t="s">
        <v>312</v>
      </c>
      <c r="H846" s="4" t="s">
        <v>1167</v>
      </c>
      <c r="I846" s="84" t="s">
        <v>290</v>
      </c>
      <c r="J846" s="64" t="s">
        <v>277</v>
      </c>
      <c r="K846" s="4"/>
      <c r="L846" s="3"/>
      <c r="M846" s="386"/>
      <c r="N846" s="3">
        <f t="shared" ref="N846:N853" si="235">P846+R846+T846+V846</f>
        <v>0</v>
      </c>
      <c r="O846" s="3">
        <f>Q846+S846</f>
        <v>0</v>
      </c>
      <c r="P846" s="3"/>
      <c r="Q846" s="3"/>
      <c r="R846" s="3"/>
      <c r="S846" s="3"/>
      <c r="T846" s="3"/>
      <c r="U846" s="3"/>
      <c r="V846" s="3"/>
      <c r="W846" s="3"/>
      <c r="X846" s="3">
        <f>Y846+Z846+AA846+AB846</f>
        <v>0</v>
      </c>
      <c r="Y846" s="3"/>
      <c r="Z846" s="3"/>
      <c r="AA846" s="3"/>
      <c r="AB846" s="3"/>
      <c r="AC846" s="3">
        <f>AD846+AE846+AF846+AG846</f>
        <v>0</v>
      </c>
      <c r="AD846" s="3"/>
      <c r="AE846" s="3"/>
      <c r="AF846" s="3"/>
      <c r="AG846" s="3"/>
      <c r="AH846" s="3">
        <f>AI846+AJ846+AK846+AL846</f>
        <v>0</v>
      </c>
      <c r="AI846" s="3"/>
      <c r="AJ846" s="3"/>
      <c r="AK846" s="3"/>
      <c r="AL846" s="3"/>
      <c r="AM846" s="3">
        <f>AN846+AO846+AP846+AQ846</f>
        <v>0</v>
      </c>
      <c r="AN846" s="3"/>
      <c r="AO846" s="3"/>
      <c r="AP846" s="3"/>
      <c r="AQ846" s="3"/>
    </row>
    <row r="847" spans="1:43" ht="35.450000000000003" customHeight="1" thickBot="1">
      <c r="A847" s="426" t="s">
        <v>869</v>
      </c>
      <c r="B847" s="318"/>
      <c r="C847" s="84" t="s">
        <v>962</v>
      </c>
      <c r="D847" s="84" t="s">
        <v>1169</v>
      </c>
      <c r="E847" s="84" t="s">
        <v>964</v>
      </c>
      <c r="F847" s="95" t="s">
        <v>568</v>
      </c>
      <c r="G847" s="139" t="s">
        <v>277</v>
      </c>
      <c r="H847" s="139" t="s">
        <v>390</v>
      </c>
      <c r="I847" s="131" t="s">
        <v>1168</v>
      </c>
      <c r="J847" s="64" t="s">
        <v>277</v>
      </c>
      <c r="K847" s="4"/>
      <c r="L847" s="3"/>
      <c r="M847" s="196" t="s">
        <v>1170</v>
      </c>
      <c r="N847" s="3">
        <f t="shared" si="235"/>
        <v>0</v>
      </c>
      <c r="O847" s="3">
        <f t="shared" ref="O847:O861" si="236">Q847+S847</f>
        <v>0</v>
      </c>
      <c r="P847" s="3"/>
      <c r="Q847" s="3"/>
      <c r="R847" s="3">
        <v>0</v>
      </c>
      <c r="S847" s="3"/>
      <c r="T847" s="3"/>
      <c r="U847" s="3"/>
      <c r="V847" s="3"/>
      <c r="W847" s="3"/>
      <c r="X847" s="3">
        <f t="shared" ref="X847:X853" si="237">Y847+Z847+AA847+AB847</f>
        <v>0</v>
      </c>
      <c r="Y847" s="3"/>
      <c r="Z847" s="3">
        <v>0</v>
      </c>
      <c r="AA847" s="3"/>
      <c r="AB847" s="3"/>
      <c r="AC847" s="3">
        <f t="shared" ref="AC847:AC853" si="238">AD847+AE847+AF847+AG847</f>
        <v>0</v>
      </c>
      <c r="AD847" s="3"/>
      <c r="AE847" s="3">
        <v>0</v>
      </c>
      <c r="AF847" s="3"/>
      <c r="AG847" s="3"/>
      <c r="AH847" s="3">
        <f t="shared" ref="AH847:AH861" si="239">AI847+AJ847+AK847+AL847</f>
        <v>0</v>
      </c>
      <c r="AI847" s="3"/>
      <c r="AJ847" s="3">
        <v>0</v>
      </c>
      <c r="AK847" s="3"/>
      <c r="AL847" s="3"/>
      <c r="AM847" s="3">
        <f t="shared" ref="AM847:AM853" si="240">AN847+AO847+AP847+AQ847</f>
        <v>0</v>
      </c>
      <c r="AN847" s="3"/>
      <c r="AO847" s="3">
        <v>0</v>
      </c>
      <c r="AP847" s="3"/>
      <c r="AQ847" s="3"/>
    </row>
    <row r="848" spans="1:43" ht="35.450000000000003" customHeight="1" thickBot="1">
      <c r="A848" s="426" t="s">
        <v>869</v>
      </c>
      <c r="B848" s="318"/>
      <c r="C848" s="4"/>
      <c r="D848" s="4"/>
      <c r="E848" s="4"/>
      <c r="F848" s="4"/>
      <c r="G848" s="4"/>
      <c r="H848" s="4"/>
      <c r="K848" s="4"/>
      <c r="L848" s="3"/>
      <c r="M848" s="196" t="s">
        <v>1171</v>
      </c>
      <c r="N848" s="3">
        <f t="shared" si="235"/>
        <v>48704.9</v>
      </c>
      <c r="O848" s="3">
        <f t="shared" si="236"/>
        <v>48704.9</v>
      </c>
      <c r="P848" s="3"/>
      <c r="Q848" s="3"/>
      <c r="R848" s="3">
        <f>39092.4+1374.1+3756.5+564+222+630.8+121.1+2944</f>
        <v>48704.9</v>
      </c>
      <c r="S848" s="3">
        <v>48704.9</v>
      </c>
      <c r="T848" s="3"/>
      <c r="U848" s="3"/>
      <c r="V848" s="3"/>
      <c r="W848" s="3"/>
      <c r="X848" s="3">
        <f t="shared" si="237"/>
        <v>62492.100000000006</v>
      </c>
      <c r="Y848" s="3"/>
      <c r="Z848" s="3">
        <f>48266.8+3067.8+1275.6+2128+7753.9</f>
        <v>62492.100000000006</v>
      </c>
      <c r="AA848" s="3"/>
      <c r="AB848" s="3"/>
      <c r="AC848" s="3">
        <f t="shared" si="238"/>
        <v>48266.8</v>
      </c>
      <c r="AD848" s="3"/>
      <c r="AE848" s="3">
        <v>48266.8</v>
      </c>
      <c r="AF848" s="3"/>
      <c r="AG848" s="3"/>
      <c r="AH848" s="3">
        <f t="shared" si="239"/>
        <v>48266.8</v>
      </c>
      <c r="AI848" s="3"/>
      <c r="AJ848" s="3">
        <v>48266.8</v>
      </c>
      <c r="AK848" s="3"/>
      <c r="AL848" s="3"/>
      <c r="AM848" s="3">
        <f t="shared" si="240"/>
        <v>48266.8</v>
      </c>
      <c r="AN848" s="3"/>
      <c r="AO848" s="3">
        <v>48266.8</v>
      </c>
      <c r="AP848" s="3"/>
      <c r="AQ848" s="3"/>
    </row>
    <row r="849" spans="1:43" ht="35.450000000000003" customHeight="1" thickBot="1">
      <c r="A849" s="426" t="s">
        <v>869</v>
      </c>
      <c r="B849" s="318"/>
      <c r="C849" s="4"/>
      <c r="D849" s="4"/>
      <c r="E849" s="4"/>
      <c r="F849" s="4"/>
      <c r="G849" s="4"/>
      <c r="H849" s="4"/>
      <c r="I849" s="131"/>
      <c r="J849" s="64"/>
      <c r="K849" s="4"/>
      <c r="L849" s="3"/>
      <c r="M849" s="196"/>
      <c r="N849" s="3">
        <f t="shared" si="235"/>
        <v>0</v>
      </c>
      <c r="O849" s="3">
        <f t="shared" si="236"/>
        <v>0</v>
      </c>
      <c r="P849" s="3"/>
      <c r="Q849" s="3"/>
      <c r="R849" s="3"/>
      <c r="S849" s="3"/>
      <c r="T849" s="3"/>
      <c r="U849" s="3"/>
      <c r="V849" s="3"/>
      <c r="W849" s="3"/>
      <c r="X849" s="3">
        <f t="shared" si="237"/>
        <v>0</v>
      </c>
      <c r="Y849" s="3"/>
      <c r="Z849" s="3"/>
      <c r="AA849" s="3"/>
      <c r="AB849" s="3"/>
      <c r="AC849" s="3">
        <f t="shared" si="238"/>
        <v>0</v>
      </c>
      <c r="AD849" s="3"/>
      <c r="AE849" s="3"/>
      <c r="AF849" s="3"/>
      <c r="AG849" s="3"/>
      <c r="AH849" s="3">
        <f t="shared" si="239"/>
        <v>0</v>
      </c>
      <c r="AI849" s="3"/>
      <c r="AJ849" s="3"/>
      <c r="AK849" s="3"/>
      <c r="AL849" s="3"/>
      <c r="AM849" s="3">
        <f t="shared" si="240"/>
        <v>0</v>
      </c>
      <c r="AN849" s="3"/>
      <c r="AO849" s="3"/>
      <c r="AP849" s="3"/>
      <c r="AQ849" s="3"/>
    </row>
    <row r="850" spans="1:43" ht="35.450000000000003" customHeight="1" thickBot="1">
      <c r="A850" s="426" t="s">
        <v>869</v>
      </c>
      <c r="B850" s="318"/>
      <c r="C850" s="4"/>
      <c r="D850" s="4"/>
      <c r="E850" s="4"/>
      <c r="F850" s="4"/>
      <c r="G850" s="4"/>
      <c r="H850" s="4"/>
      <c r="I850" s="131"/>
      <c r="J850" s="64"/>
      <c r="K850" s="4"/>
      <c r="L850" s="3"/>
      <c r="M850" s="196" t="s">
        <v>1172</v>
      </c>
      <c r="N850" s="3">
        <f t="shared" si="235"/>
        <v>14012.500000000002</v>
      </c>
      <c r="O850" s="3">
        <f t="shared" si="236"/>
        <v>14012.5</v>
      </c>
      <c r="P850" s="3"/>
      <c r="Q850" s="3"/>
      <c r="R850" s="3">
        <f>12632.6+399.7+264+156.6+111.4+221.4+0.1+226.7</f>
        <v>14012.500000000002</v>
      </c>
      <c r="S850" s="3">
        <v>14012.5</v>
      </c>
      <c r="T850" s="3"/>
      <c r="U850" s="3"/>
      <c r="V850" s="3"/>
      <c r="W850" s="3"/>
      <c r="X850" s="3">
        <f t="shared" si="237"/>
        <v>16370.300000000001</v>
      </c>
      <c r="Y850" s="3"/>
      <c r="Z850" s="3">
        <f>13793.7+1039.9+553.5+211.5+771.7</f>
        <v>16370.300000000001</v>
      </c>
      <c r="AA850" s="3"/>
      <c r="AB850" s="3"/>
      <c r="AC850" s="3">
        <f t="shared" si="238"/>
        <v>13793.7</v>
      </c>
      <c r="AD850" s="3"/>
      <c r="AE850" s="3">
        <v>13793.7</v>
      </c>
      <c r="AF850" s="3"/>
      <c r="AG850" s="3"/>
      <c r="AH850" s="3">
        <f t="shared" si="239"/>
        <v>13793.7</v>
      </c>
      <c r="AI850" s="3"/>
      <c r="AJ850" s="3">
        <v>13793.7</v>
      </c>
      <c r="AK850" s="3"/>
      <c r="AL850" s="3"/>
      <c r="AM850" s="3">
        <f t="shared" si="240"/>
        <v>13793.7</v>
      </c>
      <c r="AN850" s="3"/>
      <c r="AO850" s="3">
        <v>13793.7</v>
      </c>
      <c r="AP850" s="3"/>
      <c r="AQ850" s="3"/>
    </row>
    <row r="851" spans="1:43" ht="35.450000000000003" customHeight="1" thickBot="1">
      <c r="A851" s="426" t="s">
        <v>869</v>
      </c>
      <c r="B851" s="318"/>
      <c r="C851" s="4"/>
      <c r="D851" s="4"/>
      <c r="E851" s="4"/>
      <c r="F851" s="4"/>
      <c r="G851" s="4"/>
      <c r="H851" s="4"/>
      <c r="I851" s="131"/>
      <c r="J851" s="64"/>
      <c r="K851" s="4"/>
      <c r="L851" s="3"/>
      <c r="M851" s="196"/>
      <c r="N851" s="3">
        <f t="shared" si="235"/>
        <v>0</v>
      </c>
      <c r="O851" s="3">
        <f t="shared" si="236"/>
        <v>0</v>
      </c>
      <c r="P851" s="3"/>
      <c r="Q851" s="3"/>
      <c r="R851" s="3">
        <f>269.1-269.1</f>
        <v>0</v>
      </c>
      <c r="S851" s="3"/>
      <c r="T851" s="3"/>
      <c r="U851" s="3"/>
      <c r="V851" s="3"/>
      <c r="W851" s="3"/>
      <c r="X851" s="3">
        <f t="shared" si="237"/>
        <v>0</v>
      </c>
      <c r="Y851" s="3"/>
      <c r="Z851" s="3">
        <v>0</v>
      </c>
      <c r="AA851" s="3"/>
      <c r="AB851" s="3"/>
      <c r="AC851" s="3">
        <f t="shared" si="238"/>
        <v>0</v>
      </c>
      <c r="AD851" s="3"/>
      <c r="AE851" s="3">
        <v>0</v>
      </c>
      <c r="AF851" s="3"/>
      <c r="AG851" s="3"/>
      <c r="AH851" s="3">
        <f t="shared" si="239"/>
        <v>0</v>
      </c>
      <c r="AI851" s="3"/>
      <c r="AJ851" s="3">
        <v>0</v>
      </c>
      <c r="AK851" s="3"/>
      <c r="AL851" s="3"/>
      <c r="AM851" s="3">
        <f t="shared" si="240"/>
        <v>0</v>
      </c>
      <c r="AN851" s="3"/>
      <c r="AO851" s="3">
        <v>0</v>
      </c>
      <c r="AP851" s="3"/>
      <c r="AQ851" s="3"/>
    </row>
    <row r="852" spans="1:43" ht="35.450000000000003" customHeight="1" thickBot="1">
      <c r="A852" s="426" t="s">
        <v>869</v>
      </c>
      <c r="B852" s="318"/>
      <c r="C852" s="4"/>
      <c r="D852" s="4"/>
      <c r="E852" s="4"/>
      <c r="F852" s="4"/>
      <c r="G852" s="4"/>
      <c r="H852" s="4"/>
      <c r="I852" s="131"/>
      <c r="J852" s="64"/>
      <c r="K852" s="4"/>
      <c r="L852" s="3"/>
      <c r="M852" s="196" t="s">
        <v>1173</v>
      </c>
      <c r="N852" s="3">
        <f t="shared" si="235"/>
        <v>0</v>
      </c>
      <c r="O852" s="3">
        <f t="shared" si="236"/>
        <v>0</v>
      </c>
      <c r="P852" s="3"/>
      <c r="Q852" s="3"/>
      <c r="R852" s="3">
        <v>0</v>
      </c>
      <c r="S852" s="3"/>
      <c r="T852" s="3"/>
      <c r="U852" s="3"/>
      <c r="V852" s="3"/>
      <c r="W852" s="3"/>
      <c r="X852" s="3">
        <f t="shared" si="237"/>
        <v>0</v>
      </c>
      <c r="Y852" s="3"/>
      <c r="Z852" s="3">
        <f>258.8-258.8</f>
        <v>0</v>
      </c>
      <c r="AA852" s="3"/>
      <c r="AB852" s="3"/>
      <c r="AC852" s="3">
        <f t="shared" si="238"/>
        <v>0</v>
      </c>
      <c r="AD852" s="3"/>
      <c r="AE852" s="3">
        <v>0</v>
      </c>
      <c r="AF852" s="3"/>
      <c r="AG852" s="3"/>
      <c r="AH852" s="3">
        <f t="shared" si="239"/>
        <v>0</v>
      </c>
      <c r="AI852" s="3"/>
      <c r="AJ852" s="3">
        <v>0</v>
      </c>
      <c r="AK852" s="3"/>
      <c r="AL852" s="3"/>
      <c r="AM852" s="3">
        <f t="shared" si="240"/>
        <v>0</v>
      </c>
      <c r="AN852" s="3"/>
      <c r="AO852" s="3">
        <v>0</v>
      </c>
      <c r="AP852" s="3"/>
      <c r="AQ852" s="3"/>
    </row>
    <row r="853" spans="1:43" ht="35.450000000000003" customHeight="1" thickBot="1">
      <c r="A853" s="426" t="s">
        <v>869</v>
      </c>
      <c r="B853" s="318"/>
      <c r="C853" s="4"/>
      <c r="D853" s="4"/>
      <c r="E853" s="4"/>
      <c r="F853" s="4"/>
      <c r="G853" s="4"/>
      <c r="H853" s="4"/>
      <c r="I853" s="131"/>
      <c r="J853" s="64"/>
      <c r="K853" s="4"/>
      <c r="L853" s="3"/>
      <c r="M853" s="196" t="s">
        <v>1174</v>
      </c>
      <c r="N853" s="3">
        <f t="shared" si="235"/>
        <v>0</v>
      </c>
      <c r="O853" s="3">
        <f t="shared" si="236"/>
        <v>0</v>
      </c>
      <c r="P853" s="3"/>
      <c r="Q853" s="3"/>
      <c r="R853" s="3">
        <v>0</v>
      </c>
      <c r="S853" s="3"/>
      <c r="T853" s="3"/>
      <c r="U853" s="3"/>
      <c r="V853" s="3"/>
      <c r="W853" s="3"/>
      <c r="X853" s="3">
        <f t="shared" si="237"/>
        <v>0</v>
      </c>
      <c r="Y853" s="3"/>
      <c r="Z853" s="3">
        <v>0</v>
      </c>
      <c r="AA853" s="3"/>
      <c r="AB853" s="3"/>
      <c r="AC853" s="3">
        <f t="shared" si="238"/>
        <v>0</v>
      </c>
      <c r="AD853" s="3"/>
      <c r="AE853" s="3">
        <v>0</v>
      </c>
      <c r="AF853" s="3"/>
      <c r="AG853" s="3"/>
      <c r="AH853" s="3">
        <f t="shared" si="239"/>
        <v>0</v>
      </c>
      <c r="AI853" s="3"/>
      <c r="AJ853" s="3">
        <v>0</v>
      </c>
      <c r="AK853" s="3"/>
      <c r="AL853" s="3"/>
      <c r="AM853" s="3">
        <f t="shared" si="240"/>
        <v>0</v>
      </c>
      <c r="AN853" s="3"/>
      <c r="AO853" s="3">
        <v>0</v>
      </c>
      <c r="AP853" s="3"/>
      <c r="AQ853" s="3"/>
    </row>
    <row r="854" spans="1:43" ht="35.450000000000003" customHeight="1" thickBot="1">
      <c r="A854" s="426" t="s">
        <v>869</v>
      </c>
      <c r="B854" s="318"/>
      <c r="C854" s="4"/>
      <c r="D854" s="4"/>
      <c r="E854" s="4"/>
      <c r="F854" s="4"/>
      <c r="G854" s="4"/>
      <c r="H854" s="4"/>
      <c r="I854" s="131"/>
      <c r="J854" s="64"/>
      <c r="K854" s="4"/>
      <c r="L854" s="3"/>
      <c r="M854" s="196" t="s">
        <v>1175</v>
      </c>
      <c r="N854" s="3"/>
      <c r="O854" s="3">
        <f t="shared" si="236"/>
        <v>0</v>
      </c>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row>
    <row r="855" spans="1:43" ht="35.450000000000003" customHeight="1" thickBot="1">
      <c r="A855" s="426" t="s">
        <v>869</v>
      </c>
      <c r="B855" s="318"/>
      <c r="C855" s="4"/>
      <c r="D855" s="4"/>
      <c r="E855" s="4"/>
      <c r="F855" s="4"/>
      <c r="G855" s="4"/>
      <c r="H855" s="4"/>
      <c r="I855" s="131"/>
      <c r="J855" s="64"/>
      <c r="K855" s="4"/>
      <c r="L855" s="3"/>
      <c r="M855" s="196" t="s">
        <v>1176</v>
      </c>
      <c r="N855" s="3">
        <f>P855+R855+T855+V855</f>
        <v>164979.39999999997</v>
      </c>
      <c r="O855" s="3">
        <f t="shared" si="236"/>
        <v>164979.4</v>
      </c>
      <c r="P855" s="3"/>
      <c r="Q855" s="3"/>
      <c r="R855" s="3">
        <f>143931.5+7550.8+1658.5+400.8+2293.5+4376.9+3533.3+1234.1</f>
        <v>164979.39999999997</v>
      </c>
      <c r="S855" s="3">
        <v>164979.4</v>
      </c>
      <c r="T855" s="3"/>
      <c r="U855" s="3"/>
      <c r="V855" s="3"/>
      <c r="W855" s="3"/>
      <c r="X855" s="3">
        <f>Y855+Z855+AA855+AB855</f>
        <v>196086.60000000003</v>
      </c>
      <c r="Y855" s="3"/>
      <c r="Z855" s="3">
        <f>159634.7-1877.5+4569.7+8637.6+0.1+916.6+1630.3+22575.1</f>
        <v>196086.60000000003</v>
      </c>
      <c r="AA855" s="3"/>
      <c r="AB855" s="3"/>
      <c r="AC855" s="3">
        <f>AD855+AE855+AF855+AG855</f>
        <v>155145.9</v>
      </c>
      <c r="AD855" s="3"/>
      <c r="AE855" s="3">
        <f>157023.3-1877.4</f>
        <v>155145.9</v>
      </c>
      <c r="AF855" s="3"/>
      <c r="AG855" s="3"/>
      <c r="AH855" s="3">
        <f t="shared" si="239"/>
        <v>155145.9</v>
      </c>
      <c r="AI855" s="3"/>
      <c r="AJ855" s="3">
        <f>157023.3-1877.4</f>
        <v>155145.9</v>
      </c>
      <c r="AK855" s="3"/>
      <c r="AL855" s="3"/>
      <c r="AM855" s="3">
        <f>AN855+AO855+AP855+AQ855</f>
        <v>155145.9</v>
      </c>
      <c r="AN855" s="3"/>
      <c r="AO855" s="3">
        <f>157023.3-1877.4</f>
        <v>155145.9</v>
      </c>
      <c r="AP855" s="3"/>
      <c r="AQ855" s="3"/>
    </row>
    <row r="856" spans="1:43" ht="35.450000000000003" customHeight="1" thickBot="1">
      <c r="A856" s="426" t="s">
        <v>869</v>
      </c>
      <c r="B856" s="318"/>
      <c r="C856" s="4"/>
      <c r="D856" s="4"/>
      <c r="E856" s="4"/>
      <c r="F856" s="4"/>
      <c r="G856" s="4"/>
      <c r="H856" s="4"/>
      <c r="I856" s="131"/>
      <c r="J856" s="64"/>
      <c r="K856" s="4"/>
      <c r="L856" s="3"/>
      <c r="M856" s="196" t="s">
        <v>1177</v>
      </c>
      <c r="N856" s="3"/>
      <c r="O856" s="3">
        <f t="shared" si="236"/>
        <v>0</v>
      </c>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row>
    <row r="857" spans="1:43" ht="35.450000000000003" customHeight="1" thickBot="1">
      <c r="A857" s="426" t="s">
        <v>869</v>
      </c>
      <c r="B857" s="318"/>
      <c r="C857" s="4"/>
      <c r="D857" s="4"/>
      <c r="E857" s="4"/>
      <c r="F857" s="4"/>
      <c r="G857" s="4"/>
      <c r="H857" s="4"/>
      <c r="I857" s="131"/>
      <c r="J857" s="64"/>
      <c r="K857" s="4"/>
      <c r="L857" s="3"/>
      <c r="M857" s="196" t="s">
        <v>1178</v>
      </c>
      <c r="N857" s="3">
        <f>P857+R857+T857+V857</f>
        <v>0</v>
      </c>
      <c r="O857" s="3">
        <f t="shared" si="236"/>
        <v>0</v>
      </c>
      <c r="P857" s="3"/>
      <c r="Q857" s="3"/>
      <c r="R857" s="3"/>
      <c r="S857" s="3"/>
      <c r="T857" s="3"/>
      <c r="U857" s="3"/>
      <c r="V857" s="3"/>
      <c r="W857" s="3"/>
      <c r="X857" s="3">
        <f>Y857+Z857+AA857+AB857</f>
        <v>0</v>
      </c>
      <c r="Y857" s="3"/>
      <c r="Z857" s="3"/>
      <c r="AA857" s="3"/>
      <c r="AB857" s="3"/>
      <c r="AC857" s="3">
        <f>AD857+AE857+AF857+AG857</f>
        <v>0</v>
      </c>
      <c r="AD857" s="3"/>
      <c r="AE857" s="3"/>
      <c r="AF857" s="3"/>
      <c r="AG857" s="3"/>
      <c r="AH857" s="3">
        <f t="shared" si="239"/>
        <v>0</v>
      </c>
      <c r="AI857" s="3"/>
      <c r="AJ857" s="3"/>
      <c r="AK857" s="3"/>
      <c r="AL857" s="3"/>
      <c r="AM857" s="3">
        <f>AN857+AO857+AP857+AQ857</f>
        <v>0</v>
      </c>
      <c r="AN857" s="3"/>
      <c r="AO857" s="3"/>
      <c r="AP857" s="3"/>
      <c r="AQ857" s="3"/>
    </row>
    <row r="858" spans="1:43" ht="35.450000000000003" customHeight="1" thickBot="1">
      <c r="A858" s="426" t="s">
        <v>869</v>
      </c>
      <c r="B858" s="318"/>
      <c r="C858" s="4"/>
      <c r="D858" s="4"/>
      <c r="E858" s="4"/>
      <c r="F858" s="4"/>
      <c r="G858" s="4"/>
      <c r="H858" s="4"/>
      <c r="I858" s="131"/>
      <c r="J858" s="64"/>
      <c r="K858" s="4"/>
      <c r="L858" s="3"/>
      <c r="M858" s="196" t="s">
        <v>1179</v>
      </c>
      <c r="N858" s="3">
        <f>P858+R858+T858+V858</f>
        <v>47730.299999999988</v>
      </c>
      <c r="O858" s="3">
        <f t="shared" si="236"/>
        <v>47730.3</v>
      </c>
      <c r="P858" s="3"/>
      <c r="Q858" s="3"/>
      <c r="R858" s="3">
        <f>41436.8+1983.6+219.2+125.7+723.2+1312.6+1088+841.2</f>
        <v>47730.299999999988</v>
      </c>
      <c r="S858" s="3">
        <v>47730.3</v>
      </c>
      <c r="T858" s="3"/>
      <c r="U858" s="3"/>
      <c r="V858" s="3"/>
      <c r="W858" s="3"/>
      <c r="X858" s="3">
        <f>Y858+Z858+AA858+AB858</f>
        <v>55343.7</v>
      </c>
      <c r="Y858" s="3"/>
      <c r="Z858" s="3">
        <f>43915.9-545+1982.9+2719.7+255.1+553.5+6461.6</f>
        <v>55343.7</v>
      </c>
      <c r="AA858" s="3"/>
      <c r="AB858" s="3"/>
      <c r="AC858" s="3">
        <f>AD858+AE858+AF858+AG858</f>
        <v>42638.5</v>
      </c>
      <c r="AD858" s="3"/>
      <c r="AE858" s="3">
        <f>43183.5-545</f>
        <v>42638.5</v>
      </c>
      <c r="AF858" s="3"/>
      <c r="AG858" s="3"/>
      <c r="AH858" s="3">
        <f t="shared" si="239"/>
        <v>42638.5</v>
      </c>
      <c r="AI858" s="3"/>
      <c r="AJ858" s="3">
        <f>43183.5-545</f>
        <v>42638.5</v>
      </c>
      <c r="AK858" s="3"/>
      <c r="AL858" s="3"/>
      <c r="AM858" s="3">
        <f>AN858+AO858+AP858+AQ858</f>
        <v>42638.5</v>
      </c>
      <c r="AN858" s="3"/>
      <c r="AO858" s="3">
        <f>43183.5-545</f>
        <v>42638.5</v>
      </c>
      <c r="AP858" s="3"/>
      <c r="AQ858" s="3"/>
    </row>
    <row r="859" spans="1:43" ht="35.450000000000003" customHeight="1" thickBot="1">
      <c r="A859" s="426" t="s">
        <v>869</v>
      </c>
      <c r="B859" s="318"/>
      <c r="C859" s="4"/>
      <c r="D859" s="4"/>
      <c r="E859" s="4"/>
      <c r="F859" s="4"/>
      <c r="G859" s="4"/>
      <c r="H859" s="4"/>
      <c r="I859" s="131"/>
      <c r="J859" s="64"/>
      <c r="K859" s="4"/>
      <c r="L859" s="3"/>
      <c r="M859" s="196"/>
      <c r="N859" s="3"/>
      <c r="O859" s="3">
        <f t="shared" si="236"/>
        <v>0</v>
      </c>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row>
    <row r="860" spans="1:43" ht="35.450000000000003" customHeight="1" thickBot="1">
      <c r="A860" s="426" t="s">
        <v>869</v>
      </c>
      <c r="B860" s="318"/>
      <c r="C860" s="4"/>
      <c r="D860" s="4"/>
      <c r="E860" s="4"/>
      <c r="F860" s="4"/>
      <c r="G860" s="4"/>
      <c r="H860" s="4"/>
      <c r="I860" s="131"/>
      <c r="J860" s="64"/>
      <c r="K860" s="4"/>
      <c r="L860" s="3"/>
      <c r="M860" s="196" t="s">
        <v>1180</v>
      </c>
      <c r="N860" s="3">
        <f>P860+R860+T860+V860</f>
        <v>0</v>
      </c>
      <c r="O860" s="3">
        <f t="shared" si="236"/>
        <v>0</v>
      </c>
      <c r="P860" s="3"/>
      <c r="Q860" s="3"/>
      <c r="R860" s="3"/>
      <c r="S860" s="3"/>
      <c r="T860" s="3"/>
      <c r="U860" s="3"/>
      <c r="V860" s="3"/>
      <c r="W860" s="3"/>
      <c r="X860" s="3">
        <f>Y860+Z860+AA860+AB860</f>
        <v>0</v>
      </c>
      <c r="Y860" s="3"/>
      <c r="Z860" s="3"/>
      <c r="AA860" s="3"/>
      <c r="AB860" s="3"/>
      <c r="AC860" s="3">
        <f>AD860+AE860+AF860+AG860</f>
        <v>0</v>
      </c>
      <c r="AD860" s="3"/>
      <c r="AE860" s="3"/>
      <c r="AF860" s="3"/>
      <c r="AG860" s="3"/>
      <c r="AH860" s="3">
        <f t="shared" si="239"/>
        <v>0</v>
      </c>
      <c r="AI860" s="3"/>
      <c r="AJ860" s="3"/>
      <c r="AK860" s="3"/>
      <c r="AL860" s="3"/>
      <c r="AM860" s="3">
        <f>AN860+AO860+AP860+AQ860</f>
        <v>0</v>
      </c>
      <c r="AN860" s="3"/>
      <c r="AO860" s="3"/>
      <c r="AP860" s="3"/>
      <c r="AQ860" s="3"/>
    </row>
    <row r="861" spans="1:43" ht="35.450000000000003" customHeight="1" thickBot="1">
      <c r="A861" s="426" t="s">
        <v>869</v>
      </c>
      <c r="B861" s="318"/>
      <c r="C861" s="4"/>
      <c r="D861" s="4"/>
      <c r="E861" s="4"/>
      <c r="F861" s="4"/>
      <c r="G861" s="4"/>
      <c r="H861" s="4"/>
      <c r="I861" s="131"/>
      <c r="J861" s="64"/>
      <c r="K861" s="4"/>
      <c r="L861" s="3"/>
      <c r="M861" s="196" t="s">
        <v>1181</v>
      </c>
      <c r="N861" s="3">
        <f>P861+R861+T861+V861</f>
        <v>0</v>
      </c>
      <c r="O861" s="3">
        <f t="shared" si="236"/>
        <v>0</v>
      </c>
      <c r="P861" s="3"/>
      <c r="Q861" s="3"/>
      <c r="R861" s="3">
        <f>7493.9-1775.3-1838.8-2870+390.3+1136.9-644.2-1892.8</f>
        <v>0</v>
      </c>
      <c r="S861" s="3"/>
      <c r="T861" s="3"/>
      <c r="U861" s="3"/>
      <c r="V861" s="3"/>
      <c r="W861" s="3"/>
      <c r="X861" s="3">
        <f>Y861+Z861+AA861+AB861</f>
        <v>0</v>
      </c>
      <c r="Y861" s="3"/>
      <c r="Z861" s="3">
        <f>49.3-49.3</f>
        <v>0</v>
      </c>
      <c r="AA861" s="3"/>
      <c r="AB861" s="3"/>
      <c r="AC861" s="3">
        <f>AD861+AE861+AF861+AG861</f>
        <v>558.79999999999995</v>
      </c>
      <c r="AD861" s="3"/>
      <c r="AE861" s="3">
        <v>558.79999999999995</v>
      </c>
      <c r="AF861" s="3"/>
      <c r="AG861" s="3"/>
      <c r="AH861" s="3">
        <f t="shared" si="239"/>
        <v>558.79999999999995</v>
      </c>
      <c r="AI861" s="3"/>
      <c r="AJ861" s="3">
        <v>558.79999999999995</v>
      </c>
      <c r="AK861" s="3"/>
      <c r="AL861" s="3"/>
      <c r="AM861" s="3">
        <f>AN861+AO861+AP861+AQ861</f>
        <v>558.79999999999995</v>
      </c>
      <c r="AN861" s="3"/>
      <c r="AO861" s="3">
        <v>558.79999999999995</v>
      </c>
      <c r="AP861" s="3"/>
      <c r="AQ861" s="3"/>
    </row>
    <row r="862" spans="1:43" ht="35.450000000000003" customHeight="1">
      <c r="A862" s="290" t="s">
        <v>1182</v>
      </c>
      <c r="B862" s="427">
        <v>3403</v>
      </c>
      <c r="C862" s="78"/>
      <c r="D862" s="5"/>
      <c r="E862" s="5"/>
      <c r="F862" s="5"/>
      <c r="G862" s="5"/>
      <c r="H862" s="5"/>
      <c r="I862" s="5"/>
      <c r="J862" s="5"/>
      <c r="K862" s="5"/>
      <c r="L862" s="5">
        <v>6</v>
      </c>
      <c r="M862" s="196"/>
      <c r="N862" s="145">
        <f>N863+N864+N865+N867+N868+N869+N870+N871+N866</f>
        <v>225450.3</v>
      </c>
      <c r="O862" s="145">
        <f t="shared" ref="O862:V862" si="241">O863+O864+O865+O867+O868+O869+O870+O871+O866</f>
        <v>225450.3</v>
      </c>
      <c r="P862" s="145">
        <f t="shared" si="241"/>
        <v>0</v>
      </c>
      <c r="Q862" s="145">
        <f t="shared" si="241"/>
        <v>0</v>
      </c>
      <c r="R862" s="145">
        <f t="shared" si="241"/>
        <v>225450.3</v>
      </c>
      <c r="S862" s="145">
        <f t="shared" si="241"/>
        <v>225450.3</v>
      </c>
      <c r="T862" s="145">
        <f t="shared" si="241"/>
        <v>0</v>
      </c>
      <c r="U862" s="145"/>
      <c r="V862" s="145">
        <f t="shared" si="241"/>
        <v>0</v>
      </c>
      <c r="W862" s="145"/>
      <c r="X862" s="145">
        <f t="shared" ref="X862:AQ862" si="242">X863+X864+X865+X867+X868+X869+X870+X871+X866</f>
        <v>251380.4</v>
      </c>
      <c r="Y862" s="145">
        <f t="shared" si="242"/>
        <v>0</v>
      </c>
      <c r="Z862" s="145">
        <f t="shared" si="242"/>
        <v>251380.4</v>
      </c>
      <c r="AA862" s="145">
        <f t="shared" si="242"/>
        <v>0</v>
      </c>
      <c r="AB862" s="145">
        <f t="shared" si="242"/>
        <v>0</v>
      </c>
      <c r="AC862" s="145">
        <f t="shared" si="242"/>
        <v>215229.09999999998</v>
      </c>
      <c r="AD862" s="145">
        <f t="shared" si="242"/>
        <v>0</v>
      </c>
      <c r="AE862" s="145">
        <f t="shared" si="242"/>
        <v>215229.09999999998</v>
      </c>
      <c r="AF862" s="145">
        <f t="shared" si="242"/>
        <v>0</v>
      </c>
      <c r="AG862" s="145">
        <f t="shared" si="242"/>
        <v>0</v>
      </c>
      <c r="AH862" s="145">
        <f t="shared" si="242"/>
        <v>215229.09999999998</v>
      </c>
      <c r="AI862" s="145">
        <f t="shared" si="242"/>
        <v>0</v>
      </c>
      <c r="AJ862" s="145">
        <f t="shared" si="242"/>
        <v>215229.09999999998</v>
      </c>
      <c r="AK862" s="145">
        <f t="shared" si="242"/>
        <v>0</v>
      </c>
      <c r="AL862" s="145">
        <f t="shared" si="242"/>
        <v>0</v>
      </c>
      <c r="AM862" s="145">
        <f t="shared" si="242"/>
        <v>215229.09999999998</v>
      </c>
      <c r="AN862" s="145">
        <f t="shared" si="242"/>
        <v>0</v>
      </c>
      <c r="AO862" s="145">
        <f t="shared" si="242"/>
        <v>215229.09999999998</v>
      </c>
      <c r="AP862" s="145">
        <f t="shared" si="242"/>
        <v>0</v>
      </c>
      <c r="AQ862" s="145">
        <f t="shared" si="242"/>
        <v>0</v>
      </c>
    </row>
    <row r="863" spans="1:43" ht="35.450000000000003" customHeight="1">
      <c r="A863" s="146" t="s">
        <v>869</v>
      </c>
      <c r="B863" s="206"/>
      <c r="C863" s="84" t="s">
        <v>962</v>
      </c>
      <c r="D863" s="84" t="s">
        <v>1169</v>
      </c>
      <c r="E863" s="84" t="s">
        <v>964</v>
      </c>
      <c r="F863" s="4" t="s">
        <v>1166</v>
      </c>
      <c r="G863" s="4" t="s">
        <v>312</v>
      </c>
      <c r="H863" s="4" t="s">
        <v>1167</v>
      </c>
      <c r="I863" s="131" t="s">
        <v>1168</v>
      </c>
      <c r="J863" s="64" t="s">
        <v>277</v>
      </c>
      <c r="K863" s="87"/>
      <c r="L863" s="3"/>
      <c r="M863" s="196" t="s">
        <v>1183</v>
      </c>
      <c r="N863" s="3">
        <f t="shared" ref="N863:N871" si="243">P863+R863+T863+V863</f>
        <v>55310.7</v>
      </c>
      <c r="O863" s="3">
        <f>Q863+S863</f>
        <v>55310.7</v>
      </c>
      <c r="P863" s="3"/>
      <c r="Q863" s="3"/>
      <c r="R863" s="3">
        <f>47378.6+3518.7+3181.4+1232</f>
        <v>55310.7</v>
      </c>
      <c r="S863" s="3">
        <v>55310.7</v>
      </c>
      <c r="T863" s="3"/>
      <c r="U863" s="3"/>
      <c r="V863" s="3"/>
      <c r="W863" s="3"/>
      <c r="X863" s="3">
        <f>Y863+Z863+AA863+AB863</f>
        <v>62021</v>
      </c>
      <c r="Y863" s="3"/>
      <c r="Z863" s="3">
        <f>55001.4+5429.6+1590</f>
        <v>62021</v>
      </c>
      <c r="AA863" s="3"/>
      <c r="AB863" s="3"/>
      <c r="AC863" s="3">
        <f>AD863+AE863+AF863+AG863</f>
        <v>55001.4</v>
      </c>
      <c r="AD863" s="3"/>
      <c r="AE863" s="3">
        <v>55001.4</v>
      </c>
      <c r="AF863" s="3"/>
      <c r="AG863" s="3"/>
      <c r="AH863" s="3">
        <f>AI863+AJ863+AK863+AL863</f>
        <v>55001.4</v>
      </c>
      <c r="AI863" s="3"/>
      <c r="AJ863" s="3">
        <v>55001.4</v>
      </c>
      <c r="AK863" s="3"/>
      <c r="AL863" s="3"/>
      <c r="AM863" s="3">
        <f>AN863+AO863+AP863+AQ863</f>
        <v>55001.4</v>
      </c>
      <c r="AN863" s="3"/>
      <c r="AO863" s="3">
        <v>55001.4</v>
      </c>
      <c r="AP863" s="3"/>
      <c r="AQ863" s="3"/>
    </row>
    <row r="864" spans="1:43" ht="35.450000000000003" customHeight="1">
      <c r="A864" s="146" t="s">
        <v>869</v>
      </c>
      <c r="B864" s="206"/>
      <c r="C864" s="84" t="s">
        <v>1184</v>
      </c>
      <c r="D864" s="84" t="s">
        <v>1185</v>
      </c>
      <c r="E864" s="84" t="s">
        <v>1186</v>
      </c>
      <c r="F864" s="4"/>
      <c r="G864" s="4"/>
      <c r="H864" s="4"/>
      <c r="I864" s="131"/>
      <c r="J864" s="64"/>
      <c r="K864" s="87"/>
      <c r="L864" s="3"/>
      <c r="M864" s="196" t="s">
        <v>1187</v>
      </c>
      <c r="N864" s="3">
        <f t="shared" si="243"/>
        <v>0</v>
      </c>
      <c r="O864" s="3">
        <f t="shared" ref="O864:O871" si="244">Q864+S864</f>
        <v>0</v>
      </c>
      <c r="P864" s="3"/>
      <c r="Q864" s="3"/>
      <c r="R864" s="3"/>
      <c r="S864" s="3"/>
      <c r="T864" s="3"/>
      <c r="U864" s="3"/>
      <c r="V864" s="3"/>
      <c r="W864" s="3"/>
      <c r="X864" s="3">
        <f t="shared" ref="X864:X871" si="245">Y864+Z864+AA864+AB864</f>
        <v>0</v>
      </c>
      <c r="Y864" s="3"/>
      <c r="Z864" s="3"/>
      <c r="AA864" s="3"/>
      <c r="AB864" s="3"/>
      <c r="AC864" s="3">
        <f t="shared" ref="AC864:AC871" si="246">AD864+AE864+AF864+AG864</f>
        <v>0</v>
      </c>
      <c r="AD864" s="3"/>
      <c r="AE864" s="3"/>
      <c r="AF864" s="3"/>
      <c r="AG864" s="3"/>
      <c r="AH864" s="3">
        <f t="shared" ref="AH864:AH871" si="247">AI864+AJ864+AK864+AL864</f>
        <v>0</v>
      </c>
      <c r="AI864" s="3"/>
      <c r="AJ864" s="3"/>
      <c r="AK864" s="3"/>
      <c r="AL864" s="3"/>
      <c r="AM864" s="3">
        <f t="shared" ref="AM864:AM871" si="248">AN864+AO864+AP864+AQ864</f>
        <v>0</v>
      </c>
      <c r="AN864" s="3"/>
      <c r="AO864" s="3"/>
      <c r="AP864" s="3"/>
      <c r="AQ864" s="3"/>
    </row>
    <row r="865" spans="1:43" ht="35.450000000000003" customHeight="1">
      <c r="A865" s="146" t="s">
        <v>869</v>
      </c>
      <c r="B865" s="428"/>
      <c r="F865" s="4"/>
      <c r="G865" s="4"/>
      <c r="H865" s="4"/>
      <c r="I865" s="131"/>
      <c r="J865" s="64"/>
      <c r="K865" s="87"/>
      <c r="L865" s="3"/>
      <c r="M865" s="273" t="s">
        <v>1188</v>
      </c>
      <c r="N865" s="3">
        <f t="shared" si="243"/>
        <v>9446.3999999999978</v>
      </c>
      <c r="O865" s="3">
        <f t="shared" si="244"/>
        <v>9446.4</v>
      </c>
      <c r="P865" s="158"/>
      <c r="Q865" s="158"/>
      <c r="R865" s="158">
        <f>8151.7+537.6+345.3+411.8</f>
        <v>9446.3999999999978</v>
      </c>
      <c r="S865" s="158">
        <v>9446.4</v>
      </c>
      <c r="T865" s="158"/>
      <c r="U865" s="158"/>
      <c r="V865" s="158"/>
      <c r="W865" s="158"/>
      <c r="X865" s="3">
        <f t="shared" si="245"/>
        <v>10858.3</v>
      </c>
      <c r="Y865" s="158"/>
      <c r="Z865" s="158">
        <f>9763.4+838.6+256.3</f>
        <v>10858.3</v>
      </c>
      <c r="AA865" s="158"/>
      <c r="AB865" s="158"/>
      <c r="AC865" s="3">
        <f t="shared" si="246"/>
        <v>9763.4</v>
      </c>
      <c r="AD865" s="158"/>
      <c r="AE865" s="158">
        <v>9763.4</v>
      </c>
      <c r="AF865" s="158"/>
      <c r="AG865" s="158"/>
      <c r="AH865" s="3">
        <f t="shared" si="247"/>
        <v>9763.4</v>
      </c>
      <c r="AI865" s="158"/>
      <c r="AJ865" s="158">
        <v>9763.4</v>
      </c>
      <c r="AK865" s="158"/>
      <c r="AL865" s="158"/>
      <c r="AM865" s="3">
        <f t="shared" si="248"/>
        <v>9763.4</v>
      </c>
      <c r="AN865" s="158"/>
      <c r="AO865" s="158">
        <v>9763.4</v>
      </c>
      <c r="AP865" s="158"/>
      <c r="AQ865" s="158"/>
    </row>
    <row r="866" spans="1:43" ht="35.450000000000003" customHeight="1">
      <c r="A866" s="146" t="s">
        <v>869</v>
      </c>
      <c r="B866" s="428"/>
      <c r="C866" s="4"/>
      <c r="D866" s="4"/>
      <c r="E866" s="4"/>
      <c r="F866" s="4"/>
      <c r="G866" s="4"/>
      <c r="H866" s="4"/>
      <c r="I866" s="131"/>
      <c r="J866" s="64"/>
      <c r="K866" s="87"/>
      <c r="L866" s="3"/>
      <c r="M866" s="273" t="s">
        <v>1189</v>
      </c>
      <c r="N866" s="3">
        <f t="shared" si="243"/>
        <v>0</v>
      </c>
      <c r="O866" s="3">
        <f t="shared" si="244"/>
        <v>0</v>
      </c>
      <c r="P866" s="158"/>
      <c r="Q866" s="158"/>
      <c r="R866" s="158"/>
      <c r="S866" s="158"/>
      <c r="T866" s="158"/>
      <c r="U866" s="158"/>
      <c r="V866" s="158"/>
      <c r="W866" s="158"/>
      <c r="X866" s="3">
        <f t="shared" si="245"/>
        <v>0</v>
      </c>
      <c r="Y866" s="158"/>
      <c r="Z866" s="158"/>
      <c r="AA866" s="158"/>
      <c r="AB866" s="158"/>
      <c r="AC866" s="3">
        <f t="shared" si="246"/>
        <v>0</v>
      </c>
      <c r="AD866" s="158"/>
      <c r="AE866" s="158"/>
      <c r="AF866" s="158"/>
      <c r="AG866" s="158"/>
      <c r="AH866" s="3">
        <f t="shared" si="247"/>
        <v>0</v>
      </c>
      <c r="AI866" s="158"/>
      <c r="AJ866" s="158"/>
      <c r="AK866" s="158"/>
      <c r="AL866" s="158"/>
      <c r="AM866" s="3">
        <f t="shared" si="248"/>
        <v>0</v>
      </c>
      <c r="AN866" s="158"/>
      <c r="AO866" s="158"/>
      <c r="AP866" s="158"/>
      <c r="AQ866" s="158"/>
    </row>
    <row r="867" spans="1:43" ht="35.450000000000003" customHeight="1">
      <c r="A867" s="146" t="s">
        <v>869</v>
      </c>
      <c r="B867" s="428"/>
      <c r="C867" s="4"/>
      <c r="D867" s="4"/>
      <c r="E867" s="4"/>
      <c r="F867" s="4"/>
      <c r="G867" s="4"/>
      <c r="H867" s="4"/>
      <c r="I867" s="131"/>
      <c r="J867" s="64"/>
      <c r="K867" s="87"/>
      <c r="L867" s="3"/>
      <c r="M867" s="196" t="s">
        <v>1190</v>
      </c>
      <c r="N867" s="3">
        <f t="shared" si="243"/>
        <v>139169.40000000002</v>
      </c>
      <c r="O867" s="3">
        <f t="shared" si="244"/>
        <v>139169.4</v>
      </c>
      <c r="P867" s="3"/>
      <c r="Q867" s="3"/>
      <c r="R867" s="3">
        <f>114618.4+5723.7+10976.9+2231+4030.2+1589.2</f>
        <v>139169.40000000002</v>
      </c>
      <c r="S867" s="3">
        <v>139169.4</v>
      </c>
      <c r="T867" s="3"/>
      <c r="U867" s="3"/>
      <c r="V867" s="3"/>
      <c r="W867" s="3"/>
      <c r="X867" s="3">
        <f t="shared" si="245"/>
        <v>154807</v>
      </c>
      <c r="Y867" s="3"/>
      <c r="Z867" s="3">
        <f>129430+8664-0.1+2131.7+0.1+14581.3</f>
        <v>154807</v>
      </c>
      <c r="AA867" s="3"/>
      <c r="AB867" s="3"/>
      <c r="AC867" s="3">
        <f t="shared" si="246"/>
        <v>129430</v>
      </c>
      <c r="AD867" s="3"/>
      <c r="AE867" s="3">
        <v>129430</v>
      </c>
      <c r="AF867" s="3"/>
      <c r="AG867" s="3"/>
      <c r="AH867" s="3">
        <f t="shared" si="247"/>
        <v>129430</v>
      </c>
      <c r="AI867" s="3"/>
      <c r="AJ867" s="3">
        <v>129430</v>
      </c>
      <c r="AK867" s="3"/>
      <c r="AL867" s="3"/>
      <c r="AM867" s="3">
        <f t="shared" si="248"/>
        <v>129430</v>
      </c>
      <c r="AN867" s="3"/>
      <c r="AO867" s="3">
        <v>129430</v>
      </c>
      <c r="AP867" s="3"/>
      <c r="AQ867" s="3"/>
    </row>
    <row r="868" spans="1:43" ht="35.450000000000003" customHeight="1">
      <c r="A868" s="146" t="s">
        <v>869</v>
      </c>
      <c r="B868" s="428"/>
      <c r="C868" s="4"/>
      <c r="D868" s="4"/>
      <c r="E868" s="4"/>
      <c r="F868" s="4"/>
      <c r="G868" s="4"/>
      <c r="H868" s="4"/>
      <c r="I868" s="131"/>
      <c r="J868" s="64"/>
      <c r="K868" s="87"/>
      <c r="L868" s="3"/>
      <c r="M868" s="196" t="s">
        <v>1191</v>
      </c>
      <c r="N868" s="3">
        <f t="shared" si="243"/>
        <v>0</v>
      </c>
      <c r="O868" s="3">
        <f t="shared" si="244"/>
        <v>0</v>
      </c>
      <c r="P868" s="3"/>
      <c r="Q868" s="3"/>
      <c r="R868" s="3"/>
      <c r="S868" s="3"/>
      <c r="T868" s="3"/>
      <c r="U868" s="3"/>
      <c r="V868" s="3"/>
      <c r="W868" s="3"/>
      <c r="X868" s="3">
        <f t="shared" si="245"/>
        <v>0</v>
      </c>
      <c r="Y868" s="3"/>
      <c r="Z868" s="3"/>
      <c r="AA868" s="3"/>
      <c r="AB868" s="3"/>
      <c r="AC868" s="3">
        <f t="shared" si="246"/>
        <v>0</v>
      </c>
      <c r="AD868" s="3"/>
      <c r="AE868" s="3"/>
      <c r="AF868" s="3"/>
      <c r="AG868" s="3"/>
      <c r="AH868" s="3">
        <f t="shared" si="247"/>
        <v>0</v>
      </c>
      <c r="AI868" s="3"/>
      <c r="AJ868" s="3"/>
      <c r="AK868" s="3"/>
      <c r="AL868" s="3"/>
      <c r="AM868" s="3">
        <f t="shared" si="248"/>
        <v>0</v>
      </c>
      <c r="AN868" s="3"/>
      <c r="AO868" s="3"/>
      <c r="AP868" s="3"/>
      <c r="AQ868" s="3"/>
    </row>
    <row r="869" spans="1:43" ht="35.450000000000003" customHeight="1">
      <c r="A869" s="146" t="s">
        <v>869</v>
      </c>
      <c r="B869" s="428"/>
      <c r="C869" s="4"/>
      <c r="D869" s="4"/>
      <c r="E869" s="4"/>
      <c r="F869" s="4"/>
      <c r="G869" s="4"/>
      <c r="H869" s="4"/>
      <c r="I869" s="131"/>
      <c r="J869" s="64"/>
      <c r="K869" s="87"/>
      <c r="L869" s="3"/>
      <c r="M869" s="196" t="s">
        <v>1192</v>
      </c>
      <c r="N869" s="3">
        <f t="shared" si="243"/>
        <v>21523.8</v>
      </c>
      <c r="O869" s="3">
        <f t="shared" si="244"/>
        <v>21523.8</v>
      </c>
      <c r="P869" s="3"/>
      <c r="Q869" s="3"/>
      <c r="R869" s="3">
        <f>17027.2+1114.1+1122.3+1183.9+1076.3</f>
        <v>21523.8</v>
      </c>
      <c r="S869" s="3">
        <v>21523.8</v>
      </c>
      <c r="T869" s="3"/>
      <c r="U869" s="3"/>
      <c r="V869" s="3"/>
      <c r="W869" s="3"/>
      <c r="X869" s="3">
        <f t="shared" si="245"/>
        <v>23694.100000000002</v>
      </c>
      <c r="Y869" s="3"/>
      <c r="Z869" s="3">
        <f>21034.3+1213.2+94.4+1352.2</f>
        <v>23694.100000000002</v>
      </c>
      <c r="AA869" s="3"/>
      <c r="AB869" s="3"/>
      <c r="AC869" s="3">
        <f t="shared" si="246"/>
        <v>21034.3</v>
      </c>
      <c r="AD869" s="3"/>
      <c r="AE869" s="3">
        <v>21034.3</v>
      </c>
      <c r="AF869" s="3"/>
      <c r="AG869" s="3"/>
      <c r="AH869" s="3">
        <f t="shared" si="247"/>
        <v>21034.3</v>
      </c>
      <c r="AI869" s="3"/>
      <c r="AJ869" s="3">
        <v>21034.3</v>
      </c>
      <c r="AK869" s="3"/>
      <c r="AL869" s="3"/>
      <c r="AM869" s="3">
        <f t="shared" si="248"/>
        <v>21034.3</v>
      </c>
      <c r="AN869" s="3"/>
      <c r="AO869" s="3">
        <v>21034.3</v>
      </c>
      <c r="AP869" s="3"/>
      <c r="AQ869" s="3"/>
    </row>
    <row r="870" spans="1:43" ht="35.450000000000003" customHeight="1">
      <c r="A870" s="146" t="s">
        <v>869</v>
      </c>
      <c r="B870" s="428"/>
      <c r="C870" s="4"/>
      <c r="D870" s="4"/>
      <c r="E870" s="4"/>
      <c r="F870" s="4"/>
      <c r="G870" s="4"/>
      <c r="H870" s="4"/>
      <c r="I870" s="131"/>
      <c r="J870" s="64"/>
      <c r="K870" s="87"/>
      <c r="L870" s="3"/>
      <c r="M870" s="196" t="s">
        <v>1193</v>
      </c>
      <c r="N870" s="3">
        <f t="shared" si="243"/>
        <v>0</v>
      </c>
      <c r="O870" s="3">
        <f t="shared" si="244"/>
        <v>0</v>
      </c>
      <c r="P870" s="3"/>
      <c r="Q870" s="3"/>
      <c r="R870" s="3"/>
      <c r="S870" s="3"/>
      <c r="T870" s="3"/>
      <c r="U870" s="3"/>
      <c r="V870" s="3"/>
      <c r="W870" s="3"/>
      <c r="X870" s="3">
        <f t="shared" si="245"/>
        <v>0</v>
      </c>
      <c r="Y870" s="3"/>
      <c r="Z870" s="3"/>
      <c r="AA870" s="3"/>
      <c r="AB870" s="3"/>
      <c r="AC870" s="3">
        <f t="shared" si="246"/>
        <v>0</v>
      </c>
      <c r="AD870" s="3"/>
      <c r="AE870" s="3"/>
      <c r="AF870" s="3"/>
      <c r="AG870" s="3"/>
      <c r="AH870" s="3">
        <f t="shared" si="247"/>
        <v>0</v>
      </c>
      <c r="AI870" s="3"/>
      <c r="AJ870" s="3"/>
      <c r="AK870" s="3"/>
      <c r="AL870" s="3"/>
      <c r="AM870" s="3">
        <f t="shared" si="248"/>
        <v>0</v>
      </c>
      <c r="AN870" s="3"/>
      <c r="AO870" s="3"/>
      <c r="AP870" s="3"/>
      <c r="AQ870" s="3"/>
    </row>
    <row r="871" spans="1:43" ht="35.450000000000003" customHeight="1">
      <c r="A871" s="146" t="s">
        <v>869</v>
      </c>
      <c r="B871" s="428"/>
      <c r="C871" s="4"/>
      <c r="D871" s="4"/>
      <c r="E871" s="4"/>
      <c r="F871" s="4"/>
      <c r="G871" s="4"/>
      <c r="H871" s="4"/>
      <c r="I871" s="131"/>
      <c r="J871" s="64"/>
      <c r="K871" s="87"/>
      <c r="L871" s="3"/>
      <c r="M871" s="196" t="s">
        <v>1194</v>
      </c>
      <c r="N871" s="3">
        <f t="shared" si="243"/>
        <v>0</v>
      </c>
      <c r="O871" s="3">
        <f t="shared" si="244"/>
        <v>0</v>
      </c>
      <c r="P871" s="3"/>
      <c r="Q871" s="3"/>
      <c r="R871" s="3">
        <f>359.9-359.9</f>
        <v>0</v>
      </c>
      <c r="S871" s="3"/>
      <c r="T871" s="3"/>
      <c r="U871" s="3"/>
      <c r="V871" s="3"/>
      <c r="W871" s="3"/>
      <c r="X871" s="3">
        <f t="shared" si="245"/>
        <v>0</v>
      </c>
      <c r="Y871" s="3"/>
      <c r="Z871" s="3">
        <v>0</v>
      </c>
      <c r="AA871" s="3"/>
      <c r="AB871" s="3"/>
      <c r="AC871" s="3">
        <f t="shared" si="246"/>
        <v>0</v>
      </c>
      <c r="AD871" s="3"/>
      <c r="AE871" s="3">
        <v>0</v>
      </c>
      <c r="AF871" s="3"/>
      <c r="AG871" s="3"/>
      <c r="AH871" s="3">
        <f t="shared" si="247"/>
        <v>0</v>
      </c>
      <c r="AI871" s="3"/>
      <c r="AJ871" s="3">
        <v>0</v>
      </c>
      <c r="AK871" s="3"/>
      <c r="AL871" s="3"/>
      <c r="AM871" s="3">
        <f t="shared" si="248"/>
        <v>0</v>
      </c>
      <c r="AN871" s="3"/>
      <c r="AO871" s="3">
        <v>0</v>
      </c>
      <c r="AP871" s="3"/>
      <c r="AQ871" s="3"/>
    </row>
    <row r="872" spans="1:43" ht="35.450000000000003" customHeight="1">
      <c r="A872" s="293" t="s">
        <v>1195</v>
      </c>
      <c r="B872" s="429"/>
      <c r="C872" s="260"/>
      <c r="D872" s="260"/>
      <c r="E872" s="260"/>
      <c r="F872" s="260"/>
      <c r="G872" s="260"/>
      <c r="H872" s="260"/>
      <c r="I872" s="384"/>
      <c r="J872" s="391"/>
      <c r="K872" s="244"/>
      <c r="L872" s="5"/>
      <c r="M872" s="196"/>
      <c r="N872" s="5">
        <f t="shared" ref="N872:S872" si="249">N874+N875+N876+N877</f>
        <v>40980.199999999997</v>
      </c>
      <c r="O872" s="5">
        <f t="shared" si="249"/>
        <v>39547.9</v>
      </c>
      <c r="P872" s="5">
        <f t="shared" si="249"/>
        <v>0</v>
      </c>
      <c r="Q872" s="5">
        <f t="shared" si="249"/>
        <v>0</v>
      </c>
      <c r="R872" s="5">
        <f t="shared" si="249"/>
        <v>40980.199999999997</v>
      </c>
      <c r="S872" s="5">
        <f t="shared" si="249"/>
        <v>39547.9</v>
      </c>
      <c r="T872" s="5">
        <f>T874+T875+T876</f>
        <v>0</v>
      </c>
      <c r="U872" s="5"/>
      <c r="V872" s="5">
        <f>V874+V875+V876</f>
        <v>0</v>
      </c>
      <c r="W872" s="5"/>
      <c r="X872" s="5">
        <f>X874+X875+X876+X877</f>
        <v>47276.2</v>
      </c>
      <c r="Y872" s="5">
        <f t="shared" ref="Y872:AQ872" si="250">Y874+Y875+Y876+Y877</f>
        <v>0</v>
      </c>
      <c r="Z872" s="5">
        <f t="shared" si="250"/>
        <v>47276.2</v>
      </c>
      <c r="AA872" s="5">
        <f t="shared" si="250"/>
        <v>0</v>
      </c>
      <c r="AB872" s="5">
        <f t="shared" si="250"/>
        <v>0</v>
      </c>
      <c r="AC872" s="5">
        <f t="shared" si="250"/>
        <v>38972.5</v>
      </c>
      <c r="AD872" s="5">
        <f t="shared" si="250"/>
        <v>0</v>
      </c>
      <c r="AE872" s="5">
        <f t="shared" si="250"/>
        <v>38972.5</v>
      </c>
      <c r="AF872" s="5">
        <f t="shared" si="250"/>
        <v>0</v>
      </c>
      <c r="AG872" s="5">
        <f t="shared" si="250"/>
        <v>0</v>
      </c>
      <c r="AH872" s="5">
        <f t="shared" si="250"/>
        <v>38972.5</v>
      </c>
      <c r="AI872" s="5">
        <f t="shared" si="250"/>
        <v>0</v>
      </c>
      <c r="AJ872" s="5">
        <f t="shared" si="250"/>
        <v>38972.5</v>
      </c>
      <c r="AK872" s="5">
        <f t="shared" si="250"/>
        <v>0</v>
      </c>
      <c r="AL872" s="5">
        <f t="shared" si="250"/>
        <v>0</v>
      </c>
      <c r="AM872" s="5">
        <f t="shared" si="250"/>
        <v>38972.5</v>
      </c>
      <c r="AN872" s="5">
        <f t="shared" si="250"/>
        <v>0</v>
      </c>
      <c r="AO872" s="5">
        <f t="shared" si="250"/>
        <v>38972.5</v>
      </c>
      <c r="AP872" s="5">
        <f t="shared" si="250"/>
        <v>0</v>
      </c>
      <c r="AQ872" s="5">
        <f t="shared" si="250"/>
        <v>0</v>
      </c>
    </row>
    <row r="873" spans="1:43" ht="35.450000000000003" customHeight="1" thickBot="1">
      <c r="A873" s="426" t="s">
        <v>869</v>
      </c>
      <c r="B873" s="318"/>
      <c r="C873" s="84" t="s">
        <v>1184</v>
      </c>
      <c r="D873" s="84" t="s">
        <v>1185</v>
      </c>
      <c r="E873" s="84" t="s">
        <v>1186</v>
      </c>
      <c r="F873" s="4" t="s">
        <v>1166</v>
      </c>
      <c r="G873" s="4" t="s">
        <v>312</v>
      </c>
      <c r="H873" s="4" t="s">
        <v>1167</v>
      </c>
      <c r="I873" s="131" t="s">
        <v>1168</v>
      </c>
      <c r="J873" s="64" t="s">
        <v>277</v>
      </c>
      <c r="K873" s="4"/>
      <c r="L873" s="3"/>
      <c r="M873" s="196" t="s">
        <v>1196</v>
      </c>
      <c r="N873" s="3">
        <f>P873+R873+T873+V873</f>
        <v>0</v>
      </c>
      <c r="O873" s="3">
        <f>Q873+S873</f>
        <v>0</v>
      </c>
      <c r="P873" s="3"/>
      <c r="Q873" s="3"/>
      <c r="R873" s="3"/>
      <c r="S873" s="3"/>
      <c r="T873" s="3"/>
      <c r="U873" s="3"/>
      <c r="V873" s="3"/>
      <c r="W873" s="3"/>
      <c r="X873" s="3">
        <f>Y873+Z873+AA873+AB873</f>
        <v>0</v>
      </c>
      <c r="Y873" s="3"/>
      <c r="Z873" s="3"/>
      <c r="AA873" s="3"/>
      <c r="AB873" s="3"/>
      <c r="AC873" s="3">
        <f>AD873+AE873+AF873+AG873</f>
        <v>0</v>
      </c>
      <c r="AD873" s="3"/>
      <c r="AE873" s="3"/>
      <c r="AF873" s="3"/>
      <c r="AG873" s="3"/>
      <c r="AH873" s="3">
        <f>AI873+AJ873+AK873+AL873</f>
        <v>0</v>
      </c>
      <c r="AI873" s="3"/>
      <c r="AJ873" s="3"/>
      <c r="AK873" s="3"/>
      <c r="AL873" s="3"/>
      <c r="AM873" s="3">
        <f>AN873+AO873+AP873+AQ873</f>
        <v>0</v>
      </c>
      <c r="AN873" s="3"/>
      <c r="AO873" s="3"/>
      <c r="AP873" s="3"/>
      <c r="AQ873" s="3"/>
    </row>
    <row r="874" spans="1:43" ht="35.450000000000003" customHeight="1" thickBot="1">
      <c r="A874" s="426" t="s">
        <v>869</v>
      </c>
      <c r="B874" s="318"/>
      <c r="C874" s="84" t="s">
        <v>962</v>
      </c>
      <c r="D874" s="84" t="s">
        <v>1169</v>
      </c>
      <c r="E874" s="84" t="s">
        <v>964</v>
      </c>
      <c r="F874" s="4"/>
      <c r="G874" s="4"/>
      <c r="H874" s="4"/>
      <c r="I874" s="131"/>
      <c r="J874" s="64"/>
      <c r="K874" s="4"/>
      <c r="L874" s="3"/>
      <c r="M874" s="196" t="s">
        <v>1197</v>
      </c>
      <c r="N874" s="3">
        <f>P874+R874+T874+V874</f>
        <v>29431.999999999996</v>
      </c>
      <c r="O874" s="3">
        <f>Q874+S874</f>
        <v>27999.7</v>
      </c>
      <c r="P874" s="3"/>
      <c r="Q874" s="3"/>
      <c r="R874" s="3">
        <f>23979.6+961.2+1596.9+497.1+1024.6+287.5+1085.1</f>
        <v>29431.999999999996</v>
      </c>
      <c r="S874" s="3">
        <v>27999.7</v>
      </c>
      <c r="T874" s="3"/>
      <c r="U874" s="3"/>
      <c r="V874" s="3"/>
      <c r="W874" s="3"/>
      <c r="X874" s="3">
        <f>Y874+Z874+AA874+AB874</f>
        <v>35286.699999999997</v>
      </c>
      <c r="Y874" s="3"/>
      <c r="Z874" s="3">
        <f>27302.8+285+316+804.7+1173.8+5404.4</f>
        <v>35286.699999999997</v>
      </c>
      <c r="AA874" s="3"/>
      <c r="AB874" s="3"/>
      <c r="AC874" s="3">
        <f>AD874+AE874+AF874+AG874</f>
        <v>27587.8</v>
      </c>
      <c r="AD874" s="3"/>
      <c r="AE874" s="3">
        <f>27302.8+285</f>
        <v>27587.8</v>
      </c>
      <c r="AF874" s="3"/>
      <c r="AG874" s="3"/>
      <c r="AH874" s="3">
        <f>AI874+AJ874+AK874+AL874</f>
        <v>27587.8</v>
      </c>
      <c r="AI874" s="3"/>
      <c r="AJ874" s="3">
        <f>27302.8+285</f>
        <v>27587.8</v>
      </c>
      <c r="AK874" s="3"/>
      <c r="AL874" s="3"/>
      <c r="AM874" s="3">
        <f>AN874+AO874+AP874+AQ874</f>
        <v>27587.8</v>
      </c>
      <c r="AN874" s="3"/>
      <c r="AO874" s="3">
        <f>27302.8+285</f>
        <v>27587.8</v>
      </c>
      <c r="AP874" s="3"/>
      <c r="AQ874" s="3"/>
    </row>
    <row r="875" spans="1:43" ht="35.450000000000003" customHeight="1">
      <c r="A875" s="292" t="s">
        <v>869</v>
      </c>
      <c r="B875" s="318"/>
      <c r="C875" s="4"/>
      <c r="D875" s="4"/>
      <c r="E875" s="4"/>
      <c r="F875" s="4"/>
      <c r="G875" s="4"/>
      <c r="H875" s="4"/>
      <c r="I875" s="131"/>
      <c r="J875" s="64"/>
      <c r="K875" s="4"/>
      <c r="L875" s="3"/>
      <c r="M875" s="196" t="s">
        <v>1198</v>
      </c>
      <c r="N875" s="3">
        <f>P875+R875+T875+V875</f>
        <v>0</v>
      </c>
      <c r="O875" s="3">
        <f>Q875+S875</f>
        <v>0</v>
      </c>
      <c r="P875" s="3"/>
      <c r="Q875" s="3"/>
      <c r="R875" s="3"/>
      <c r="S875" s="3"/>
      <c r="T875" s="3"/>
      <c r="U875" s="3"/>
      <c r="V875" s="3"/>
      <c r="W875" s="3"/>
      <c r="X875" s="3">
        <f>Y875+Z875+AA875+AB875</f>
        <v>0</v>
      </c>
      <c r="Y875" s="3"/>
      <c r="Z875" s="3"/>
      <c r="AA875" s="3"/>
      <c r="AB875" s="3"/>
      <c r="AC875" s="3">
        <f>AD875+AE875+AF875+AG875</f>
        <v>0</v>
      </c>
      <c r="AD875" s="3"/>
      <c r="AE875" s="3"/>
      <c r="AF875" s="3"/>
      <c r="AG875" s="3"/>
      <c r="AH875" s="3">
        <f>AI875+AJ875+AK875+AL875</f>
        <v>0</v>
      </c>
      <c r="AI875" s="3"/>
      <c r="AJ875" s="3"/>
      <c r="AK875" s="3"/>
      <c r="AL875" s="3"/>
      <c r="AM875" s="3">
        <f>AN875+AO875+AP875+AQ875</f>
        <v>0</v>
      </c>
      <c r="AN875" s="3"/>
      <c r="AO875" s="3"/>
      <c r="AP875" s="3"/>
      <c r="AQ875" s="3"/>
    </row>
    <row r="876" spans="1:43" ht="35.450000000000003" customHeight="1">
      <c r="A876" s="292" t="s">
        <v>869</v>
      </c>
      <c r="B876" s="194"/>
      <c r="C876" s="4"/>
      <c r="D876" s="4"/>
      <c r="E876" s="4"/>
      <c r="F876" s="4"/>
      <c r="G876" s="4"/>
      <c r="H876" s="4"/>
      <c r="I876" s="131"/>
      <c r="J876" s="64"/>
      <c r="K876" s="4"/>
      <c r="L876" s="3"/>
      <c r="M876" s="196" t="s">
        <v>1199</v>
      </c>
      <c r="N876" s="3">
        <f>P876+R876+T876+V876</f>
        <v>11548.2</v>
      </c>
      <c r="O876" s="3">
        <f>Q876+S876</f>
        <v>11548.2</v>
      </c>
      <c r="P876" s="3"/>
      <c r="Q876" s="3"/>
      <c r="R876" s="3">
        <f>9683.7+300+748.7+150+440.9+63.6+161.3</f>
        <v>11548.2</v>
      </c>
      <c r="S876" s="3">
        <v>11548.2</v>
      </c>
      <c r="T876" s="3"/>
      <c r="U876" s="3"/>
      <c r="V876" s="3"/>
      <c r="W876" s="3"/>
      <c r="X876" s="3">
        <f>Y876+Z876+AA876+AB876</f>
        <v>11765.3</v>
      </c>
      <c r="Y876" s="3"/>
      <c r="Z876" s="3">
        <f>9247.3+349.2+397.5+1771.3</f>
        <v>11765.3</v>
      </c>
      <c r="AA876" s="3"/>
      <c r="AB876" s="3"/>
      <c r="AC876" s="3">
        <f>AD876+AE876+AF876+AG876</f>
        <v>9247.2999999999993</v>
      </c>
      <c r="AD876" s="3"/>
      <c r="AE876" s="3">
        <v>9247.2999999999993</v>
      </c>
      <c r="AF876" s="3"/>
      <c r="AG876" s="3"/>
      <c r="AH876" s="3">
        <f>AI876+AJ876+AK876+AL876</f>
        <v>9247.2999999999993</v>
      </c>
      <c r="AI876" s="3"/>
      <c r="AJ876" s="3">
        <v>9247.2999999999993</v>
      </c>
      <c r="AK876" s="3"/>
      <c r="AL876" s="3"/>
      <c r="AM876" s="3">
        <f>AN876+AO876+AP876+AQ876</f>
        <v>9247.2999999999993</v>
      </c>
      <c r="AN876" s="3"/>
      <c r="AO876" s="3">
        <v>9247.2999999999993</v>
      </c>
      <c r="AP876" s="3"/>
      <c r="AQ876" s="3"/>
    </row>
    <row r="877" spans="1:43" ht="35.450000000000003" customHeight="1">
      <c r="A877" s="292" t="s">
        <v>869</v>
      </c>
      <c r="B877" s="194"/>
      <c r="C877" s="4"/>
      <c r="D877" s="4"/>
      <c r="E877" s="4"/>
      <c r="F877" s="4"/>
      <c r="G877" s="4"/>
      <c r="H877" s="4"/>
      <c r="I877" s="131"/>
      <c r="J877" s="64"/>
      <c r="K877" s="4"/>
      <c r="L877" s="3"/>
      <c r="M877" s="196" t="s">
        <v>1200</v>
      </c>
      <c r="N877" s="3">
        <f>P877+R877+T877+V877</f>
        <v>0</v>
      </c>
      <c r="O877" s="3">
        <f>Q877+S877</f>
        <v>0</v>
      </c>
      <c r="P877" s="3"/>
      <c r="Q877" s="3"/>
      <c r="R877" s="3">
        <f>4107-3696.3-410.7</f>
        <v>0</v>
      </c>
      <c r="S877" s="3"/>
      <c r="T877" s="3"/>
      <c r="U877" s="3"/>
      <c r="V877" s="3"/>
      <c r="W877" s="3"/>
      <c r="X877" s="3">
        <f>Y877+Z877+AA877+AB877</f>
        <v>224.20000000000027</v>
      </c>
      <c r="Y877" s="3"/>
      <c r="Z877" s="3">
        <f>2137.4+487.9-2401.1</f>
        <v>224.20000000000027</v>
      </c>
      <c r="AA877" s="3"/>
      <c r="AB877" s="3"/>
      <c r="AC877" s="3">
        <f>AD877+AE877+AF877+AG877</f>
        <v>2137.4</v>
      </c>
      <c r="AD877" s="3"/>
      <c r="AE877" s="3">
        <v>2137.4</v>
      </c>
      <c r="AF877" s="3"/>
      <c r="AG877" s="3"/>
      <c r="AH877" s="3">
        <f>AI877+AJ877+AK877+AL877</f>
        <v>2137.4</v>
      </c>
      <c r="AI877" s="3"/>
      <c r="AJ877" s="3">
        <v>2137.4</v>
      </c>
      <c r="AK877" s="3"/>
      <c r="AL877" s="3"/>
      <c r="AM877" s="3">
        <f>AN877+AO877+AP877+AQ877</f>
        <v>2137.4</v>
      </c>
      <c r="AN877" s="3"/>
      <c r="AO877" s="3">
        <v>2137.4</v>
      </c>
      <c r="AP877" s="3"/>
      <c r="AQ877" s="3"/>
    </row>
    <row r="878" spans="1:43" ht="35.450000000000003" customHeight="1">
      <c r="A878" s="65" t="s">
        <v>1201</v>
      </c>
      <c r="B878" s="390">
        <v>3500</v>
      </c>
      <c r="C878" s="66" t="s">
        <v>8</v>
      </c>
      <c r="D878" s="66" t="s">
        <v>8</v>
      </c>
      <c r="E878" s="66" t="s">
        <v>8</v>
      </c>
      <c r="F878" s="66"/>
      <c r="G878" s="66"/>
      <c r="H878" s="66"/>
      <c r="I878" s="66" t="s">
        <v>8</v>
      </c>
      <c r="J878" s="66" t="s">
        <v>8</v>
      </c>
      <c r="K878" s="66" t="s">
        <v>8</v>
      </c>
      <c r="L878" s="66" t="s">
        <v>8</v>
      </c>
      <c r="M878" s="196"/>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row>
    <row r="879" spans="1:43" ht="35.450000000000003" customHeight="1">
      <c r="A879" s="317" t="s">
        <v>1202</v>
      </c>
      <c r="B879" s="318">
        <v>3501</v>
      </c>
      <c r="C879" s="75" t="s">
        <v>8</v>
      </c>
      <c r="D879" s="75" t="s">
        <v>8</v>
      </c>
      <c r="E879" s="75" t="s">
        <v>8</v>
      </c>
      <c r="F879" s="75"/>
      <c r="G879" s="75"/>
      <c r="H879" s="75"/>
      <c r="I879" s="75" t="s">
        <v>8</v>
      </c>
      <c r="J879" s="75" t="s">
        <v>8</v>
      </c>
      <c r="K879" s="75" t="s">
        <v>8</v>
      </c>
      <c r="L879" s="75" t="s">
        <v>8</v>
      </c>
      <c r="M879" s="397" t="s">
        <v>8</v>
      </c>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row>
    <row r="880" spans="1:43" ht="35.450000000000003" customHeight="1">
      <c r="A880" s="65" t="s">
        <v>1203</v>
      </c>
      <c r="B880" s="385">
        <v>3502</v>
      </c>
      <c r="C880" s="66" t="s">
        <v>8</v>
      </c>
      <c r="D880" s="66" t="s">
        <v>8</v>
      </c>
      <c r="E880" s="66" t="s">
        <v>8</v>
      </c>
      <c r="F880" s="66"/>
      <c r="G880" s="66"/>
      <c r="H880" s="66"/>
      <c r="I880" s="66" t="s">
        <v>8</v>
      </c>
      <c r="J880" s="66" t="s">
        <v>8</v>
      </c>
      <c r="K880" s="66" t="s">
        <v>8</v>
      </c>
      <c r="L880" s="66" t="s">
        <v>8</v>
      </c>
      <c r="M880" s="404" t="s">
        <v>8</v>
      </c>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row>
    <row r="881" spans="1:43" ht="35.450000000000003" customHeight="1">
      <c r="A881" s="69" t="s">
        <v>10</v>
      </c>
      <c r="B881" s="410">
        <v>3503</v>
      </c>
      <c r="C881" s="71"/>
      <c r="D881" s="3"/>
      <c r="E881" s="3"/>
      <c r="F881" s="3"/>
      <c r="G881" s="3"/>
      <c r="H881" s="3"/>
      <c r="I881" s="3"/>
      <c r="J881" s="3"/>
      <c r="K881" s="3"/>
      <c r="L881" s="3"/>
      <c r="M881" s="397" t="s">
        <v>8</v>
      </c>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row>
    <row r="882" spans="1:43" ht="35.450000000000003" customHeight="1">
      <c r="A882" s="396" t="s">
        <v>1204</v>
      </c>
      <c r="B882" s="390"/>
      <c r="C882" s="78"/>
      <c r="D882" s="5"/>
      <c r="E882" s="5"/>
      <c r="F882" s="5"/>
      <c r="G882" s="5"/>
      <c r="H882" s="5"/>
      <c r="I882" s="5"/>
      <c r="J882" s="5"/>
      <c r="K882" s="5"/>
      <c r="L882" s="5"/>
      <c r="M882" s="399"/>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row>
    <row r="883" spans="1:43" ht="35.450000000000003" customHeight="1">
      <c r="A883" s="430" t="s">
        <v>1205</v>
      </c>
      <c r="B883" s="385">
        <v>3600</v>
      </c>
      <c r="C883" s="66" t="s">
        <v>8</v>
      </c>
      <c r="D883" s="66" t="s">
        <v>8</v>
      </c>
      <c r="E883" s="66" t="s">
        <v>8</v>
      </c>
      <c r="F883" s="66"/>
      <c r="G883" s="66"/>
      <c r="H883" s="66"/>
      <c r="I883" s="66" t="s">
        <v>8</v>
      </c>
      <c r="J883" s="66" t="s">
        <v>8</v>
      </c>
      <c r="K883" s="66" t="s">
        <v>8</v>
      </c>
      <c r="L883" s="66" t="s">
        <v>8</v>
      </c>
      <c r="M883" s="386"/>
      <c r="N883" s="5">
        <f>P883+R883+T883+V883</f>
        <v>0</v>
      </c>
      <c r="O883" s="5"/>
      <c r="P883" s="5"/>
      <c r="Q883" s="5"/>
      <c r="R883" s="5"/>
      <c r="S883" s="5"/>
      <c r="T883" s="5"/>
      <c r="U883" s="5"/>
      <c r="V883" s="5"/>
      <c r="W883" s="5"/>
      <c r="X883" s="5">
        <f>Y883+Z883+AA883+AB883</f>
        <v>0</v>
      </c>
      <c r="Y883" s="5"/>
      <c r="Z883" s="5"/>
      <c r="AA883" s="5"/>
      <c r="AB883" s="5">
        <v>0</v>
      </c>
      <c r="AC883" s="5">
        <f>AD883+AE883+AF883+AG883</f>
        <v>36665.699999999997</v>
      </c>
      <c r="AD883" s="5"/>
      <c r="AE883" s="5"/>
      <c r="AF883" s="5"/>
      <c r="AG883" s="5">
        <f>25000+14003.1-2000-337.4</f>
        <v>36665.699999999997</v>
      </c>
      <c r="AH883" s="5">
        <f>AL883</f>
        <v>93944.700000000012</v>
      </c>
      <c r="AI883" s="5"/>
      <c r="AJ883" s="5"/>
      <c r="AK883" s="5"/>
      <c r="AL883" s="5">
        <f>60548.9+33395.8+0.1-0.1</f>
        <v>93944.700000000012</v>
      </c>
      <c r="AM883" s="5">
        <f>AQ883</f>
        <v>93944.700000000012</v>
      </c>
      <c r="AN883" s="5"/>
      <c r="AO883" s="5"/>
      <c r="AP883" s="5"/>
      <c r="AQ883" s="5">
        <f>60548.9+33395.8+0.1-0.1</f>
        <v>93944.700000000012</v>
      </c>
    </row>
    <row r="884" spans="1:43" ht="35.450000000000003" customHeight="1">
      <c r="A884" s="65" t="s">
        <v>1206</v>
      </c>
      <c r="B884" s="385">
        <v>10600</v>
      </c>
      <c r="C884" s="66" t="s">
        <v>8</v>
      </c>
      <c r="D884" s="66" t="s">
        <v>8</v>
      </c>
      <c r="E884" s="66" t="s">
        <v>8</v>
      </c>
      <c r="F884" s="66"/>
      <c r="G884" s="66"/>
      <c r="H884" s="66"/>
      <c r="I884" s="66" t="s">
        <v>8</v>
      </c>
      <c r="J884" s="66" t="s">
        <v>8</v>
      </c>
      <c r="K884" s="66" t="s">
        <v>8</v>
      </c>
      <c r="L884" s="66" t="s">
        <v>8</v>
      </c>
      <c r="M884" s="397" t="s">
        <v>8</v>
      </c>
      <c r="N884" s="68">
        <f t="shared" ref="N884:AQ884" si="251">N14+N613+N734+N760+N843</f>
        <v>2575808.2000000002</v>
      </c>
      <c r="O884" s="68">
        <f t="shared" si="251"/>
        <v>2363123</v>
      </c>
      <c r="P884" s="68">
        <f t="shared" si="251"/>
        <v>77088.7</v>
      </c>
      <c r="Q884" s="68">
        <f t="shared" si="251"/>
        <v>76556.39999999998</v>
      </c>
      <c r="R884" s="68">
        <f t="shared" si="251"/>
        <v>1566924.7000000002</v>
      </c>
      <c r="S884" s="68">
        <f t="shared" si="251"/>
        <v>1414421.2</v>
      </c>
      <c r="T884" s="68">
        <f t="shared" si="251"/>
        <v>0</v>
      </c>
      <c r="U884" s="68">
        <f t="shared" si="251"/>
        <v>0</v>
      </c>
      <c r="V884" s="68">
        <f t="shared" si="251"/>
        <v>931794.80000000016</v>
      </c>
      <c r="W884" s="68">
        <f t="shared" si="251"/>
        <v>872145.4</v>
      </c>
      <c r="X884" s="68">
        <f t="shared" si="251"/>
        <v>2505733.6000000006</v>
      </c>
      <c r="Y884" s="68">
        <f t="shared" si="251"/>
        <v>73151.900000000009</v>
      </c>
      <c r="Z884" s="68">
        <f t="shared" si="251"/>
        <v>1155002.3000000003</v>
      </c>
      <c r="AA884" s="68">
        <f t="shared" si="251"/>
        <v>0</v>
      </c>
      <c r="AB884" s="68">
        <f t="shared" si="251"/>
        <v>1277219.3999999999</v>
      </c>
      <c r="AC884" s="68">
        <f t="shared" si="251"/>
        <v>1711337</v>
      </c>
      <c r="AD884" s="68">
        <f t="shared" si="251"/>
        <v>78386.5</v>
      </c>
      <c r="AE884" s="68">
        <f t="shared" si="251"/>
        <v>672986.5</v>
      </c>
      <c r="AF884" s="68">
        <f t="shared" si="251"/>
        <v>0</v>
      </c>
      <c r="AG884" s="68">
        <f t="shared" si="251"/>
        <v>959964</v>
      </c>
      <c r="AH884" s="68">
        <f t="shared" si="251"/>
        <v>1697617.1999999997</v>
      </c>
      <c r="AI884" s="68">
        <f t="shared" si="251"/>
        <v>124516.79999999997</v>
      </c>
      <c r="AJ884" s="68">
        <f t="shared" si="251"/>
        <v>613174.29999999993</v>
      </c>
      <c r="AK884" s="68">
        <f t="shared" si="251"/>
        <v>0</v>
      </c>
      <c r="AL884" s="68">
        <f t="shared" si="251"/>
        <v>959926.1</v>
      </c>
      <c r="AM884" s="68">
        <f t="shared" si="251"/>
        <v>1697617.1999999997</v>
      </c>
      <c r="AN884" s="68">
        <f t="shared" si="251"/>
        <v>124516.79999999997</v>
      </c>
      <c r="AO884" s="68">
        <f t="shared" si="251"/>
        <v>613174.29999999993</v>
      </c>
      <c r="AP884" s="68">
        <f t="shared" si="251"/>
        <v>0</v>
      </c>
      <c r="AQ884" s="68">
        <f t="shared" si="251"/>
        <v>959926.1</v>
      </c>
    </row>
    <row r="885" spans="1:43" ht="35.450000000000003" customHeight="1">
      <c r="A885" s="431" t="s">
        <v>1207</v>
      </c>
      <c r="B885" s="405">
        <v>10700</v>
      </c>
      <c r="C885" s="432" t="s">
        <v>8</v>
      </c>
      <c r="D885" s="432" t="s">
        <v>8</v>
      </c>
      <c r="E885" s="432" t="s">
        <v>8</v>
      </c>
      <c r="F885" s="432"/>
      <c r="G885" s="432"/>
      <c r="H885" s="432"/>
      <c r="I885" s="432" t="s">
        <v>8</v>
      </c>
      <c r="J885" s="432" t="s">
        <v>8</v>
      </c>
      <c r="K885" s="432" t="s">
        <v>8</v>
      </c>
      <c r="L885" s="432" t="s">
        <v>8</v>
      </c>
      <c r="M885" s="433" t="s">
        <v>8</v>
      </c>
      <c r="N885" s="434">
        <f t="shared" ref="N885:AQ885" si="252">N14+N613+N734+N760+N843+N878+N883</f>
        <v>2575808.2000000002</v>
      </c>
      <c r="O885" s="434">
        <f t="shared" si="252"/>
        <v>2363123</v>
      </c>
      <c r="P885" s="434">
        <f t="shared" si="252"/>
        <v>77088.7</v>
      </c>
      <c r="Q885" s="434">
        <f t="shared" si="252"/>
        <v>76556.39999999998</v>
      </c>
      <c r="R885" s="434">
        <f t="shared" si="252"/>
        <v>1566924.7000000002</v>
      </c>
      <c r="S885" s="434">
        <f t="shared" si="252"/>
        <v>1414421.2</v>
      </c>
      <c r="T885" s="434">
        <f t="shared" si="252"/>
        <v>0</v>
      </c>
      <c r="U885" s="434">
        <f t="shared" si="252"/>
        <v>0</v>
      </c>
      <c r="V885" s="434">
        <f t="shared" si="252"/>
        <v>931794.80000000016</v>
      </c>
      <c r="W885" s="434">
        <f t="shared" si="252"/>
        <v>872145.4</v>
      </c>
      <c r="X885" s="434">
        <f t="shared" si="252"/>
        <v>2505733.6000000006</v>
      </c>
      <c r="Y885" s="68">
        <f t="shared" si="252"/>
        <v>73151.900000000009</v>
      </c>
      <c r="Z885" s="68">
        <f t="shared" si="252"/>
        <v>1155002.3000000003</v>
      </c>
      <c r="AA885" s="68">
        <f t="shared" si="252"/>
        <v>0</v>
      </c>
      <c r="AB885" s="68">
        <f t="shared" si="252"/>
        <v>1277219.3999999999</v>
      </c>
      <c r="AC885" s="68">
        <f t="shared" si="252"/>
        <v>1748002.7</v>
      </c>
      <c r="AD885" s="68">
        <f t="shared" si="252"/>
        <v>78386.5</v>
      </c>
      <c r="AE885" s="68">
        <f t="shared" si="252"/>
        <v>672986.5</v>
      </c>
      <c r="AF885" s="68">
        <f t="shared" si="252"/>
        <v>0</v>
      </c>
      <c r="AG885" s="68">
        <f t="shared" si="252"/>
        <v>996629.7</v>
      </c>
      <c r="AH885" s="68">
        <f t="shared" si="252"/>
        <v>1791561.8999999997</v>
      </c>
      <c r="AI885" s="68">
        <f t="shared" si="252"/>
        <v>124516.79999999997</v>
      </c>
      <c r="AJ885" s="68">
        <f t="shared" si="252"/>
        <v>613174.29999999993</v>
      </c>
      <c r="AK885" s="68">
        <f t="shared" si="252"/>
        <v>0</v>
      </c>
      <c r="AL885" s="68">
        <f t="shared" si="252"/>
        <v>1053870.8</v>
      </c>
      <c r="AM885" s="68">
        <f t="shared" si="252"/>
        <v>1791561.8999999997</v>
      </c>
      <c r="AN885" s="68">
        <f t="shared" si="252"/>
        <v>124516.79999999997</v>
      </c>
      <c r="AO885" s="68">
        <f t="shared" si="252"/>
        <v>613174.29999999993</v>
      </c>
      <c r="AP885" s="68">
        <f t="shared" si="252"/>
        <v>0</v>
      </c>
      <c r="AQ885" s="68">
        <f t="shared" si="252"/>
        <v>1053870.8</v>
      </c>
    </row>
    <row r="886" spans="1:43" ht="35.450000000000003" customHeight="1">
      <c r="A886" s="435"/>
      <c r="B886" s="400"/>
      <c r="C886" s="400"/>
      <c r="D886" s="400"/>
      <c r="E886" s="400"/>
      <c r="F886" s="400"/>
      <c r="G886" s="400"/>
      <c r="H886" s="400"/>
      <c r="I886" s="400"/>
      <c r="J886" s="400"/>
      <c r="K886" s="400"/>
      <c r="L886" s="400"/>
      <c r="M886" s="400" t="s">
        <v>8</v>
      </c>
      <c r="N886" s="436"/>
      <c r="O886" s="436"/>
      <c r="P886" s="436"/>
      <c r="Q886" s="436" t="s">
        <v>1223</v>
      </c>
      <c r="R886" s="436">
        <v>1435105.9</v>
      </c>
      <c r="S886" s="436">
        <v>1310404.1000000001</v>
      </c>
      <c r="T886" s="436"/>
      <c r="U886" s="436"/>
      <c r="V886" s="436">
        <v>1063613.6000000001</v>
      </c>
      <c r="W886" s="436">
        <v>976162.5</v>
      </c>
      <c r="X886" s="436"/>
      <c r="Y886" s="437"/>
      <c r="Z886" s="437"/>
      <c r="AA886" s="437"/>
      <c r="AB886" s="437"/>
      <c r="AC886" s="437"/>
      <c r="AD886" s="437"/>
      <c r="AE886" s="437"/>
      <c r="AF886" s="437"/>
      <c r="AG886" s="437"/>
      <c r="AH886" s="437"/>
      <c r="AI886" s="437"/>
      <c r="AJ886" s="437"/>
      <c r="AK886" s="437"/>
      <c r="AL886" s="437"/>
      <c r="AM886" s="437"/>
      <c r="AN886" s="437"/>
      <c r="AO886" s="437"/>
      <c r="AP886" s="437"/>
      <c r="AQ886" s="437"/>
    </row>
    <row r="887" spans="1:43" ht="35.450000000000003" customHeight="1">
      <c r="A887" s="438"/>
      <c r="B887" s="363"/>
      <c r="C887" s="363"/>
      <c r="D887" s="363"/>
      <c r="E887" s="363"/>
      <c r="F887" s="363"/>
      <c r="G887" s="363"/>
      <c r="H887" s="363"/>
      <c r="I887" s="363"/>
      <c r="J887" s="363"/>
      <c r="K887" s="363"/>
      <c r="L887" s="363"/>
      <c r="M887" s="363"/>
      <c r="N887" s="437"/>
      <c r="O887" s="437"/>
      <c r="P887" s="437"/>
      <c r="Q887" s="437" t="s">
        <v>1224</v>
      </c>
      <c r="R887" s="437">
        <v>131818.79999999999</v>
      </c>
      <c r="S887" s="437">
        <v>104017.1</v>
      </c>
      <c r="T887" s="437"/>
      <c r="U887" s="437" t="s">
        <v>1225</v>
      </c>
      <c r="V887" s="437">
        <v>-131818.79999999999</v>
      </c>
      <c r="W887" s="437">
        <v>-104017.1</v>
      </c>
      <c r="X887" s="439" t="s">
        <v>1231</v>
      </c>
      <c r="Y887" s="440"/>
      <c r="Z887" s="440"/>
      <c r="AA887" s="440"/>
      <c r="AB887" s="440"/>
      <c r="AC887" s="440"/>
      <c r="AD887" s="440"/>
      <c r="AE887" s="440"/>
      <c r="AF887" s="437"/>
      <c r="AG887" s="437"/>
      <c r="AH887" s="437"/>
      <c r="AI887" s="437"/>
      <c r="AJ887" s="437"/>
      <c r="AK887" s="437"/>
      <c r="AL887" s="437"/>
      <c r="AM887" s="437"/>
      <c r="AN887" s="437"/>
      <c r="AO887" s="437"/>
      <c r="AP887" s="437"/>
      <c r="AQ887" s="437"/>
    </row>
    <row r="888" spans="1:43" ht="35.450000000000003" customHeight="1">
      <c r="A888" s="438"/>
      <c r="B888" s="363"/>
      <c r="C888" s="363"/>
      <c r="D888" s="363"/>
      <c r="E888" s="363"/>
      <c r="F888" s="363"/>
      <c r="G888" s="363"/>
      <c r="H888" s="363"/>
      <c r="I888" s="363"/>
      <c r="J888" s="363"/>
      <c r="K888" s="363"/>
      <c r="L888" s="363"/>
      <c r="M888" s="363"/>
      <c r="N888" s="437"/>
      <c r="O888" s="437"/>
      <c r="P888" s="437"/>
      <c r="Q888" s="437" t="s">
        <v>1226</v>
      </c>
      <c r="R888" s="437">
        <f>R886+R887</f>
        <v>1566924.7</v>
      </c>
      <c r="S888" s="437">
        <f>S886+S887</f>
        <v>1414421.2000000002</v>
      </c>
      <c r="T888" s="437"/>
      <c r="U888" s="437"/>
      <c r="V888" s="437">
        <f>V886+V887</f>
        <v>931794.8</v>
      </c>
      <c r="W888" s="437">
        <f>W886+W887</f>
        <v>872145.4</v>
      </c>
      <c r="X888" s="441"/>
      <c r="Y888" s="441"/>
      <c r="Z888" s="441"/>
      <c r="AA888" s="441"/>
      <c r="AB888" s="441"/>
      <c r="AC888" s="441"/>
      <c r="AD888" s="441"/>
      <c r="AE888" s="441"/>
      <c r="AF888" s="363"/>
      <c r="AG888" s="363"/>
      <c r="AH888" s="363"/>
      <c r="AI888" s="363"/>
      <c r="AJ888" s="363"/>
      <c r="AK888" s="363"/>
      <c r="AL888" s="363"/>
      <c r="AM888" s="437"/>
      <c r="AN888" s="437"/>
      <c r="AO888" s="437"/>
      <c r="AP888" s="437"/>
      <c r="AQ888" s="437"/>
    </row>
    <row r="889" spans="1:43" ht="35.450000000000003" customHeight="1">
      <c r="A889" s="442"/>
      <c r="B889" s="415"/>
      <c r="C889" s="443"/>
      <c r="D889" s="237"/>
      <c r="E889" s="237"/>
      <c r="F889" s="237"/>
      <c r="G889" s="237"/>
      <c r="H889" s="237"/>
      <c r="I889" s="237"/>
      <c r="J889" s="237"/>
      <c r="K889" s="237"/>
      <c r="L889" s="237"/>
      <c r="M889" s="363"/>
      <c r="N889" s="237">
        <v>2575808.2000000002</v>
      </c>
      <c r="O889" s="237"/>
      <c r="P889" s="237"/>
      <c r="Q889" s="237"/>
      <c r="R889" s="237"/>
      <c r="S889" s="237"/>
      <c r="T889" s="237"/>
      <c r="U889" s="237"/>
      <c r="V889" s="237"/>
      <c r="W889" s="237">
        <v>976162.6</v>
      </c>
      <c r="X889" s="237"/>
      <c r="Y889" s="237"/>
      <c r="Z889" s="237"/>
      <c r="AA889" s="237"/>
      <c r="AB889" s="237"/>
      <c r="AC889" s="237"/>
      <c r="AD889" s="237"/>
      <c r="AE889" s="237"/>
      <c r="AF889" s="237"/>
      <c r="AG889" s="237"/>
      <c r="AH889" s="237"/>
      <c r="AI889" s="443"/>
      <c r="AJ889" s="237"/>
      <c r="AK889" s="237"/>
      <c r="AL889" s="237"/>
      <c r="AM889" s="237"/>
      <c r="AN889" s="237"/>
      <c r="AO889" s="237"/>
      <c r="AP889" s="237"/>
      <c r="AQ889" s="237"/>
    </row>
    <row r="890" spans="1:43" ht="35.450000000000003" customHeight="1">
      <c r="A890" s="442" t="s">
        <v>1208</v>
      </c>
      <c r="B890" s="415"/>
      <c r="C890" s="443"/>
      <c r="D890" s="237"/>
      <c r="E890" s="237"/>
      <c r="F890" s="237"/>
      <c r="G890" s="237"/>
      <c r="H890" s="237"/>
      <c r="I890" s="237"/>
      <c r="J890" s="237"/>
      <c r="K890" s="237"/>
      <c r="L890" s="237"/>
      <c r="M890" s="237"/>
      <c r="N890" s="442">
        <f>N889-N885</f>
        <v>0</v>
      </c>
      <c r="O890" s="237"/>
      <c r="P890" s="237"/>
      <c r="Q890" s="237"/>
      <c r="R890" s="237"/>
      <c r="S890" s="237"/>
      <c r="T890" s="237"/>
      <c r="U890" s="237"/>
      <c r="V890" s="442"/>
      <c r="W890" s="442">
        <f>W889-W885</f>
        <v>104017.19999999995</v>
      </c>
      <c r="X890" s="237"/>
      <c r="Y890" s="237"/>
      <c r="Z890" s="237"/>
      <c r="AA890" s="237"/>
      <c r="AB890" s="237"/>
      <c r="AC890" s="237"/>
      <c r="AD890" s="237"/>
      <c r="AE890" s="237"/>
      <c r="AF890" s="237"/>
      <c r="AG890" s="237"/>
      <c r="AH890" s="237"/>
      <c r="AI890" s="237"/>
      <c r="AJ890" s="237"/>
      <c r="AK890" s="237"/>
      <c r="AL890" s="237"/>
      <c r="AM890" s="237"/>
      <c r="AN890" s="237"/>
      <c r="AO890" s="237"/>
      <c r="AP890" s="237"/>
      <c r="AQ890" s="237"/>
    </row>
    <row r="891" spans="1:43" ht="35.450000000000003" customHeight="1">
      <c r="A891" s="237"/>
      <c r="B891" s="444"/>
      <c r="C891" s="444"/>
      <c r="D891" s="444"/>
      <c r="E891" s="445"/>
      <c r="F891" s="445"/>
      <c r="G891" s="446"/>
      <c r="H891" s="446"/>
      <c r="I891" s="446"/>
      <c r="J891" s="446"/>
      <c r="K891" s="446"/>
      <c r="L891" s="446"/>
      <c r="M891" s="237"/>
      <c r="N891" s="446">
        <f>N760+N843+N878</f>
        <v>603110.1</v>
      </c>
      <c r="O891" s="446"/>
      <c r="P891" s="446"/>
      <c r="Q891" s="446"/>
      <c r="R891" s="446"/>
      <c r="S891" s="446"/>
      <c r="T891" s="446">
        <f>T760+T843+T878</f>
        <v>0</v>
      </c>
      <c r="U891" s="446"/>
      <c r="V891" s="446">
        <f>V760+V843+V878</f>
        <v>0</v>
      </c>
      <c r="W891" s="446"/>
      <c r="X891" s="446">
        <f t="shared" ref="X891:AQ891" si="253">X760+X843+X878</f>
        <v>732589.4</v>
      </c>
      <c r="Y891" s="446">
        <f t="shared" si="253"/>
        <v>8566.1</v>
      </c>
      <c r="Z891" s="446">
        <f t="shared" si="253"/>
        <v>724023.3</v>
      </c>
      <c r="AA891" s="446">
        <f t="shared" si="253"/>
        <v>0</v>
      </c>
      <c r="AB891" s="446">
        <f t="shared" si="253"/>
        <v>0</v>
      </c>
      <c r="AC891" s="446">
        <f t="shared" si="253"/>
        <v>578994.19999999995</v>
      </c>
      <c r="AD891" s="446">
        <f t="shared" si="253"/>
        <v>6595.0999999999995</v>
      </c>
      <c r="AE891" s="446">
        <f t="shared" si="253"/>
        <v>572399.1</v>
      </c>
      <c r="AF891" s="446">
        <f t="shared" si="253"/>
        <v>0</v>
      </c>
      <c r="AG891" s="446">
        <f t="shared" si="253"/>
        <v>0</v>
      </c>
      <c r="AH891" s="446">
        <f t="shared" si="253"/>
        <v>581244.79999999993</v>
      </c>
      <c r="AI891" s="446">
        <f t="shared" si="253"/>
        <v>8935.4</v>
      </c>
      <c r="AJ891" s="446">
        <f t="shared" si="253"/>
        <v>572309.39999999991</v>
      </c>
      <c r="AK891" s="446">
        <f t="shared" si="253"/>
        <v>0</v>
      </c>
      <c r="AL891" s="446">
        <f t="shared" si="253"/>
        <v>0</v>
      </c>
      <c r="AM891" s="446">
        <f t="shared" si="253"/>
        <v>581244.79999999993</v>
      </c>
      <c r="AN891" s="446">
        <f t="shared" si="253"/>
        <v>8935.4</v>
      </c>
      <c r="AO891" s="446">
        <f t="shared" si="253"/>
        <v>572309.39999999991</v>
      </c>
      <c r="AP891" s="446">
        <f t="shared" si="253"/>
        <v>0</v>
      </c>
      <c r="AQ891" s="446">
        <f t="shared" si="253"/>
        <v>0</v>
      </c>
    </row>
    <row r="892" spans="1:43" ht="35.450000000000003" customHeight="1">
      <c r="A892" s="237"/>
      <c r="B892" s="444"/>
      <c r="C892" s="444"/>
      <c r="D892" s="444"/>
      <c r="E892" s="444"/>
      <c r="F892" s="444"/>
      <c r="G892" s="444"/>
      <c r="H892" s="444"/>
      <c r="I892" s="444"/>
      <c r="J892" s="444"/>
      <c r="K892" s="444"/>
      <c r="L892" s="446"/>
      <c r="M892" s="446" t="s">
        <v>1209</v>
      </c>
      <c r="N892" s="446">
        <f>N893-N891</f>
        <v>0</v>
      </c>
      <c r="O892" s="446"/>
      <c r="P892" s="446"/>
      <c r="Q892" s="446"/>
      <c r="R892" s="446"/>
      <c r="S892" s="446"/>
      <c r="T892" s="446"/>
      <c r="U892" s="446"/>
      <c r="V892" s="446"/>
      <c r="W892" s="446"/>
      <c r="X892" s="446">
        <f>X893-X891</f>
        <v>0</v>
      </c>
      <c r="Y892" s="446"/>
      <c r="Z892" s="446"/>
      <c r="AA892" s="446"/>
      <c r="AB892" s="446"/>
      <c r="AC892" s="446">
        <f>AC893-AC891</f>
        <v>0</v>
      </c>
      <c r="AD892" s="446"/>
      <c r="AE892" s="446"/>
      <c r="AF892" s="446"/>
      <c r="AG892" s="446"/>
      <c r="AH892" s="446">
        <f>AH893-AH891</f>
        <v>0</v>
      </c>
      <c r="AI892" s="446"/>
      <c r="AJ892" s="446"/>
      <c r="AK892" s="446"/>
      <c r="AL892" s="446"/>
      <c r="AM892" s="446">
        <f>AM893-AM891</f>
        <v>0</v>
      </c>
      <c r="AN892" s="446"/>
      <c r="AO892" s="446"/>
      <c r="AP892" s="446"/>
      <c r="AQ892" s="446"/>
    </row>
    <row r="893" spans="1:43" ht="35.450000000000003" customHeight="1">
      <c r="A893" s="237"/>
      <c r="B893" s="415"/>
      <c r="C893" s="443"/>
      <c r="D893" s="415"/>
      <c r="E893" s="237"/>
      <c r="F893" s="237"/>
      <c r="G893" s="237"/>
      <c r="H893" s="237"/>
      <c r="I893" s="237"/>
      <c r="J893" s="237"/>
      <c r="K893" s="237"/>
      <c r="L893" s="237"/>
      <c r="M893" s="446" t="s">
        <v>1210</v>
      </c>
      <c r="N893" s="237">
        <v>603110.1</v>
      </c>
      <c r="O893" s="237"/>
      <c r="P893" s="237"/>
      <c r="Q893" s="237"/>
      <c r="R893" s="237"/>
      <c r="S893" s="237"/>
      <c r="T893" s="237"/>
      <c r="U893" s="237"/>
      <c r="V893" s="237"/>
      <c r="W893" s="237"/>
      <c r="X893" s="237">
        <v>732589.4</v>
      </c>
      <c r="Y893" s="237"/>
      <c r="Z893" s="237"/>
      <c r="AA893" s="237"/>
      <c r="AB893" s="237"/>
      <c r="AC893" s="237">
        <v>578994.19999999995</v>
      </c>
      <c r="AD893" s="237"/>
      <c r="AE893" s="237"/>
      <c r="AF893" s="237"/>
      <c r="AG893" s="237"/>
      <c r="AH893" s="237">
        <v>581244.80000000005</v>
      </c>
      <c r="AI893" s="237"/>
      <c r="AJ893" s="237"/>
      <c r="AK893" s="237"/>
      <c r="AL893" s="237"/>
      <c r="AM893" s="237">
        <v>581244.80000000005</v>
      </c>
      <c r="AN893" s="237"/>
      <c r="AO893" s="237"/>
      <c r="AP893" s="237"/>
      <c r="AQ893" s="237"/>
    </row>
    <row r="894" spans="1:43" ht="35.450000000000003" customHeight="1">
      <c r="A894" s="237"/>
      <c r="B894" s="415"/>
      <c r="C894" s="443"/>
      <c r="D894" s="415"/>
      <c r="E894" s="237"/>
      <c r="F894" s="237"/>
      <c r="G894" s="237"/>
      <c r="H894" s="237"/>
      <c r="I894" s="237"/>
      <c r="J894" s="237"/>
      <c r="K894" s="237"/>
      <c r="L894" s="237"/>
      <c r="N894" s="443"/>
      <c r="O894" s="443"/>
      <c r="P894" s="237"/>
      <c r="Q894" s="237"/>
      <c r="R894" s="237"/>
      <c r="S894" s="237"/>
      <c r="T894" s="237"/>
      <c r="U894" s="237"/>
      <c r="V894" s="237"/>
      <c r="W894" s="237"/>
      <c r="X894" s="443"/>
      <c r="Y894" s="237"/>
      <c r="Z894" s="237"/>
      <c r="AA894" s="237"/>
      <c r="AB894" s="237"/>
      <c r="AC894" s="443"/>
      <c r="AD894" s="237"/>
      <c r="AE894" s="237"/>
      <c r="AF894" s="237"/>
      <c r="AG894" s="237"/>
      <c r="AH894" s="237"/>
      <c r="AI894" s="237"/>
      <c r="AJ894" s="237"/>
      <c r="AK894" s="237"/>
      <c r="AL894" s="237"/>
      <c r="AM894" s="237"/>
      <c r="AN894" s="237"/>
      <c r="AO894" s="237"/>
      <c r="AP894" s="237"/>
      <c r="AQ894" s="237"/>
    </row>
    <row r="895" spans="1:43" ht="35.450000000000003" customHeight="1">
      <c r="A895" s="6"/>
      <c r="B895" s="11"/>
      <c r="C895" s="12"/>
      <c r="D895" s="11"/>
      <c r="E895" s="6"/>
      <c r="F895" s="6"/>
      <c r="G895" s="6"/>
      <c r="H895" s="6"/>
      <c r="I895" s="6"/>
      <c r="J895" s="6"/>
      <c r="K895" s="6"/>
      <c r="L895" s="6"/>
      <c r="M895" s="447" t="s">
        <v>1211</v>
      </c>
      <c r="N895" s="448">
        <f>N896-N885</f>
        <v>0</v>
      </c>
      <c r="O895" s="448"/>
      <c r="P895" s="448"/>
      <c r="Q895" s="448"/>
      <c r="R895" s="448"/>
      <c r="S895" s="448"/>
      <c r="T895" s="448"/>
      <c r="U895" s="448"/>
      <c r="V895" s="448"/>
      <c r="W895" s="448"/>
      <c r="X895" s="448">
        <f>X896-X885</f>
        <v>0</v>
      </c>
      <c r="Y895" s="448"/>
      <c r="Z895" s="448"/>
      <c r="AA895" s="448"/>
      <c r="AB895" s="448"/>
      <c r="AC895" s="448">
        <f>AC896-AC885</f>
        <v>0</v>
      </c>
      <c r="AD895" s="448"/>
      <c r="AE895" s="448"/>
      <c r="AF895" s="448"/>
      <c r="AG895" s="448"/>
      <c r="AH895" s="448">
        <f>AH896-AH885</f>
        <v>0</v>
      </c>
      <c r="AI895" s="448"/>
      <c r="AJ895" s="448"/>
      <c r="AK895" s="448"/>
      <c r="AM895" s="448">
        <f>AM896-AM885</f>
        <v>0</v>
      </c>
      <c r="AN895" s="448"/>
      <c r="AO895" s="448"/>
      <c r="AP895" s="448"/>
    </row>
    <row r="896" spans="1:43" ht="35.450000000000003" customHeight="1">
      <c r="A896" s="6"/>
      <c r="B896" s="11"/>
      <c r="C896" s="12"/>
      <c r="D896" s="11"/>
      <c r="E896" s="6"/>
      <c r="F896" s="6"/>
      <c r="G896" s="6"/>
      <c r="H896" s="6"/>
      <c r="I896" s="6"/>
      <c r="J896" s="6"/>
      <c r="K896" s="6"/>
      <c r="L896" s="6"/>
      <c r="M896" s="6" t="s">
        <v>1212</v>
      </c>
      <c r="N896" s="449">
        <v>2575808.2000000002</v>
      </c>
      <c r="O896" s="449"/>
      <c r="P896" s="79"/>
      <c r="Q896" s="79"/>
      <c r="R896" s="79"/>
      <c r="S896" s="79"/>
      <c r="T896" s="79"/>
      <c r="U896" s="79"/>
      <c r="V896" s="79"/>
      <c r="W896" s="79"/>
      <c r="X896" s="449">
        <v>2505733.6</v>
      </c>
      <c r="Y896" s="79"/>
      <c r="Z896" s="79"/>
      <c r="AA896" s="79"/>
      <c r="AB896" s="79"/>
      <c r="AC896" s="449">
        <v>1748002.7</v>
      </c>
      <c r="AD896" s="79"/>
      <c r="AE896" s="79"/>
      <c r="AF896" s="79"/>
      <c r="AG896" s="79"/>
      <c r="AH896" s="449">
        <v>1791561.9</v>
      </c>
      <c r="AI896" s="79"/>
      <c r="AJ896" s="79"/>
      <c r="AK896" s="79"/>
      <c r="AL896" s="79"/>
      <c r="AM896" s="449">
        <v>1791561.9</v>
      </c>
      <c r="AN896" s="79"/>
      <c r="AO896" s="79"/>
      <c r="AP896" s="79"/>
      <c r="AQ896" s="79"/>
    </row>
    <row r="897" spans="1:43" ht="35.450000000000003" customHeight="1">
      <c r="A897" s="79"/>
      <c r="B897" s="79"/>
      <c r="C897" s="79"/>
      <c r="D897" s="79"/>
      <c r="E897" s="79"/>
      <c r="F897" s="79"/>
      <c r="G897" s="79"/>
      <c r="H897" s="79"/>
      <c r="I897" s="79"/>
      <c r="J897" s="79"/>
      <c r="K897" s="79"/>
      <c r="L897" s="79"/>
      <c r="N897" s="79">
        <v>2024</v>
      </c>
      <c r="O897" s="79"/>
      <c r="P897" s="79"/>
      <c r="Q897" s="79"/>
      <c r="R897" s="79"/>
      <c r="S897" s="79"/>
      <c r="T897" s="79"/>
      <c r="U897" s="79"/>
      <c r="V897" s="79"/>
      <c r="W897" s="79"/>
      <c r="X897" s="79">
        <v>2025</v>
      </c>
      <c r="Y897" s="79"/>
      <c r="Z897" s="79"/>
      <c r="AA897" s="79"/>
      <c r="AB897" s="79"/>
      <c r="AC897" s="79">
        <v>2026</v>
      </c>
      <c r="AD897" s="79"/>
      <c r="AE897" s="79"/>
      <c r="AF897" s="79"/>
      <c r="AG897" s="79"/>
      <c r="AH897" s="79">
        <v>2027</v>
      </c>
      <c r="AI897" s="79"/>
      <c r="AJ897" s="79"/>
      <c r="AK897" s="79"/>
      <c r="AL897" s="79"/>
      <c r="AM897" s="79">
        <v>2028</v>
      </c>
      <c r="AN897" s="79"/>
      <c r="AO897" s="79"/>
      <c r="AP897" s="79"/>
      <c r="AQ897" s="79"/>
    </row>
    <row r="898" spans="1:43" ht="35.450000000000003" customHeight="1">
      <c r="A898" s="79"/>
      <c r="B898" s="450"/>
      <c r="C898" s="450"/>
      <c r="D898" s="450"/>
      <c r="E898" s="450"/>
      <c r="F898" s="450"/>
      <c r="G898" s="450"/>
      <c r="H898" s="450"/>
      <c r="I898" s="450"/>
      <c r="J898" s="450"/>
      <c r="K898" s="450"/>
      <c r="L898" s="450"/>
      <c r="M898" s="450"/>
      <c r="N898" s="450"/>
      <c r="O898" s="450"/>
      <c r="P898" s="450"/>
      <c r="Q898" s="450"/>
      <c r="R898" s="450"/>
      <c r="S898" s="450"/>
      <c r="T898" s="450"/>
      <c r="U898" s="450"/>
      <c r="V898" s="450"/>
      <c r="W898" s="450"/>
      <c r="X898" s="450"/>
      <c r="Y898" s="450"/>
      <c r="Z898" s="450"/>
      <c r="AA898" s="450"/>
      <c r="AB898" s="450"/>
      <c r="AC898" s="450"/>
      <c r="AD898" s="450"/>
      <c r="AE898" s="450"/>
      <c r="AF898" s="450"/>
      <c r="AG898" s="450"/>
      <c r="AH898" s="450"/>
      <c r="AI898" s="450"/>
      <c r="AJ898" s="450"/>
      <c r="AK898" s="450"/>
      <c r="AL898" s="450"/>
      <c r="AM898" s="450"/>
      <c r="AN898" s="450"/>
      <c r="AO898" s="450"/>
      <c r="AP898" s="450"/>
      <c r="AQ898" s="450"/>
    </row>
    <row r="899" spans="1:43" ht="35.450000000000003" customHeight="1">
      <c r="A899" s="79"/>
      <c r="B899" s="79"/>
      <c r="C899" s="79"/>
      <c r="D899" s="79"/>
      <c r="E899" s="79"/>
      <c r="F899" s="79"/>
      <c r="G899" s="79"/>
      <c r="H899" s="79"/>
      <c r="I899" s="79"/>
      <c r="J899" s="79"/>
      <c r="K899" s="79"/>
      <c r="L899" s="79"/>
      <c r="N899" s="79"/>
      <c r="O899" s="79"/>
      <c r="P899" s="79"/>
      <c r="Q899" s="79"/>
      <c r="R899" s="79"/>
      <c r="S899" s="79"/>
      <c r="T899" s="79"/>
      <c r="U899" s="79"/>
      <c r="V899" s="79"/>
      <c r="W899" s="79"/>
      <c r="X899" s="79"/>
      <c r="Y899" s="79"/>
      <c r="Z899" s="79"/>
      <c r="AA899" s="79"/>
      <c r="AB899" s="79"/>
      <c r="AC899" s="79"/>
      <c r="AD899" s="79"/>
      <c r="AE899" s="79"/>
      <c r="AF899" s="79"/>
      <c r="AG899" s="79"/>
      <c r="AH899" s="79"/>
      <c r="AI899" s="79"/>
      <c r="AJ899" s="79"/>
      <c r="AK899" s="79"/>
      <c r="AL899" s="79"/>
      <c r="AM899" s="79"/>
      <c r="AN899" s="79"/>
      <c r="AO899" s="79"/>
      <c r="AP899" s="79"/>
      <c r="AQ899" s="79"/>
    </row>
    <row r="900" spans="1:43" ht="35.450000000000003" customHeight="1">
      <c r="A900" s="79"/>
      <c r="B900" s="79"/>
      <c r="C900" s="79"/>
      <c r="D900" s="79"/>
      <c r="E900" s="79"/>
      <c r="F900" s="79"/>
      <c r="G900" s="79"/>
      <c r="H900" s="79"/>
      <c r="I900" s="79"/>
      <c r="J900" s="79"/>
      <c r="K900" s="79"/>
      <c r="L900" s="79"/>
      <c r="N900" s="79"/>
      <c r="O900" s="79"/>
      <c r="P900" s="79"/>
      <c r="Q900" s="79"/>
      <c r="R900" s="79"/>
      <c r="S900" s="79"/>
      <c r="T900" s="79"/>
      <c r="U900" s="79"/>
      <c r="V900" s="79"/>
      <c r="W900" s="79"/>
      <c r="X900" s="79"/>
      <c r="Y900" s="79"/>
      <c r="Z900" s="79"/>
      <c r="AA900" s="79"/>
      <c r="AB900" s="79"/>
      <c r="AC900" s="79"/>
      <c r="AD900" s="79"/>
      <c r="AE900" s="79"/>
      <c r="AF900" s="79"/>
      <c r="AG900" s="79"/>
      <c r="AH900" s="79"/>
      <c r="AI900" s="79"/>
      <c r="AJ900" s="79"/>
      <c r="AK900" s="79"/>
      <c r="AL900" s="79"/>
      <c r="AM900" s="79"/>
      <c r="AN900" s="79"/>
      <c r="AO900" s="79"/>
      <c r="AP900" s="79"/>
      <c r="AQ900" s="79"/>
    </row>
    <row r="901" spans="1:43" s="451" customFormat="1" ht="35.450000000000003" customHeight="1">
      <c r="A901" s="450"/>
      <c r="B901" s="450"/>
      <c r="C901" s="450"/>
      <c r="D901" s="450"/>
      <c r="E901" s="450"/>
      <c r="F901" s="450"/>
      <c r="G901" s="450"/>
      <c r="H901" s="450"/>
      <c r="I901" s="450"/>
      <c r="J901" s="450"/>
      <c r="K901" s="450"/>
      <c r="L901" s="450"/>
      <c r="M901" s="237"/>
      <c r="N901" s="450"/>
      <c r="O901" s="450"/>
      <c r="P901" s="450"/>
      <c r="Q901" s="450"/>
      <c r="R901" s="450"/>
      <c r="S901" s="450"/>
      <c r="T901" s="450"/>
      <c r="U901" s="450"/>
      <c r="V901" s="450"/>
      <c r="W901" s="450"/>
      <c r="X901" s="450"/>
      <c r="Y901" s="450"/>
      <c r="Z901" s="450"/>
      <c r="AA901" s="450"/>
      <c r="AB901" s="450"/>
      <c r="AC901" s="450"/>
      <c r="AD901" s="450"/>
      <c r="AE901" s="450"/>
      <c r="AF901" s="450"/>
      <c r="AG901" s="450"/>
      <c r="AH901" s="450"/>
      <c r="AI901" s="450"/>
      <c r="AJ901" s="450"/>
      <c r="AK901" s="450"/>
      <c r="AL901" s="450"/>
      <c r="AM901" s="450"/>
      <c r="AN901" s="450"/>
      <c r="AO901" s="450"/>
      <c r="AP901" s="450"/>
      <c r="AQ901" s="450"/>
    </row>
    <row r="902" spans="1:43" s="451" customFormat="1" ht="35.450000000000003" customHeight="1">
      <c r="A902" s="237"/>
      <c r="B902" s="237"/>
      <c r="C902" s="237"/>
      <c r="D902" s="237"/>
      <c r="E902" s="237"/>
      <c r="F902" s="237"/>
      <c r="G902" s="237"/>
      <c r="H902" s="237"/>
      <c r="I902" s="237"/>
      <c r="J902" s="237"/>
      <c r="K902" s="237"/>
      <c r="L902" s="453"/>
      <c r="M902" s="450"/>
      <c r="N902" s="237"/>
      <c r="O902" s="237"/>
      <c r="P902" s="237"/>
      <c r="Q902" s="237"/>
      <c r="R902" s="237"/>
      <c r="S902" s="237"/>
      <c r="T902" s="237"/>
      <c r="U902" s="237"/>
      <c r="V902" s="237"/>
      <c r="W902" s="237"/>
      <c r="X902" s="237"/>
      <c r="Y902" s="237"/>
      <c r="Z902" s="237"/>
      <c r="AA902" s="237"/>
      <c r="AB902" s="237"/>
      <c r="AC902" s="237"/>
      <c r="AD902" s="237"/>
      <c r="AE902" s="237"/>
      <c r="AF902" s="237"/>
      <c r="AG902" s="237"/>
      <c r="AH902" s="237"/>
      <c r="AI902" s="237"/>
      <c r="AJ902" s="237"/>
      <c r="AK902" s="237"/>
      <c r="AL902" s="237"/>
      <c r="AM902" s="237"/>
      <c r="AN902" s="237"/>
      <c r="AO902" s="237"/>
      <c r="AP902" s="237"/>
      <c r="AQ902" s="237"/>
    </row>
    <row r="903" spans="1:43" s="451" customFormat="1" ht="35.450000000000003" customHeight="1">
      <c r="A903" s="237"/>
      <c r="B903" s="237"/>
      <c r="C903" s="237"/>
      <c r="D903" s="237"/>
      <c r="E903" s="237"/>
      <c r="F903" s="237"/>
      <c r="G903" s="237"/>
      <c r="H903" s="237"/>
      <c r="I903" s="237"/>
      <c r="J903" s="237"/>
      <c r="K903" s="237"/>
      <c r="L903" s="453"/>
      <c r="M903" s="454"/>
      <c r="N903" s="237"/>
      <c r="O903" s="237"/>
      <c r="P903" s="237"/>
      <c r="Q903" s="237"/>
      <c r="R903" s="237"/>
      <c r="S903" s="237"/>
      <c r="T903" s="237"/>
      <c r="U903" s="237"/>
      <c r="V903" s="237"/>
      <c r="W903" s="237"/>
      <c r="X903" s="237"/>
      <c r="Y903" s="237"/>
      <c r="Z903" s="237"/>
      <c r="AA903" s="237"/>
      <c r="AB903" s="237"/>
      <c r="AC903" s="237"/>
      <c r="AD903" s="237"/>
      <c r="AE903" s="237"/>
      <c r="AF903" s="237"/>
      <c r="AG903" s="237"/>
      <c r="AH903" s="237"/>
      <c r="AI903" s="237"/>
      <c r="AJ903" s="237"/>
      <c r="AK903" s="237"/>
      <c r="AL903" s="237"/>
      <c r="AM903" s="237"/>
      <c r="AN903" s="237"/>
      <c r="AO903" s="237"/>
      <c r="AP903" s="237"/>
      <c r="AQ903" s="237"/>
    </row>
    <row r="904" spans="1:43" s="451" customFormat="1" ht="35.450000000000003" customHeight="1">
      <c r="A904" s="237"/>
      <c r="B904" s="237"/>
      <c r="C904" s="237"/>
      <c r="D904" s="237"/>
      <c r="E904" s="237"/>
      <c r="F904" s="237"/>
      <c r="G904" s="237"/>
      <c r="H904" s="237"/>
      <c r="I904" s="237"/>
      <c r="J904" s="237"/>
      <c r="K904" s="237"/>
      <c r="L904" s="453"/>
      <c r="M904" s="455"/>
      <c r="N904" s="237"/>
      <c r="O904" s="237"/>
      <c r="P904" s="237"/>
      <c r="Q904" s="237"/>
      <c r="R904" s="237"/>
      <c r="S904" s="237"/>
      <c r="T904" s="237"/>
      <c r="U904" s="237"/>
      <c r="V904" s="237"/>
      <c r="W904" s="237"/>
      <c r="X904" s="237"/>
      <c r="Y904" s="237"/>
      <c r="Z904" s="237"/>
      <c r="AA904" s="237"/>
      <c r="AB904" s="237"/>
      <c r="AC904" s="237"/>
      <c r="AD904" s="237"/>
      <c r="AE904" s="237"/>
      <c r="AF904" s="237"/>
      <c r="AG904" s="237"/>
      <c r="AH904" s="237"/>
      <c r="AI904" s="237"/>
      <c r="AJ904" s="237"/>
      <c r="AK904" s="237"/>
      <c r="AL904" s="237"/>
      <c r="AM904" s="237"/>
      <c r="AN904" s="237"/>
      <c r="AO904" s="237"/>
      <c r="AP904" s="237"/>
      <c r="AQ904" s="237"/>
    </row>
    <row r="905" spans="1:43" s="451" customFormat="1" ht="35.450000000000003" customHeight="1">
      <c r="A905" s="237"/>
      <c r="B905" s="237"/>
      <c r="C905" s="237"/>
      <c r="D905" s="237"/>
      <c r="E905" s="237"/>
      <c r="F905" s="237"/>
      <c r="G905" s="237"/>
      <c r="H905" s="237"/>
      <c r="I905" s="237"/>
      <c r="J905" s="237"/>
      <c r="K905" s="237"/>
      <c r="L905" s="237"/>
      <c r="M905" s="453"/>
      <c r="N905" s="237"/>
      <c r="O905" s="237"/>
      <c r="P905" s="237"/>
      <c r="Q905" s="237"/>
      <c r="R905" s="237"/>
      <c r="S905" s="237"/>
      <c r="T905" s="237"/>
      <c r="U905" s="237"/>
      <c r="V905" s="237"/>
      <c r="W905" s="237"/>
      <c r="X905" s="237"/>
      <c r="Y905" s="237"/>
      <c r="Z905" s="237"/>
      <c r="AA905" s="237"/>
      <c r="AB905" s="237"/>
      <c r="AC905" s="237"/>
      <c r="AD905" s="237"/>
      <c r="AE905" s="237"/>
      <c r="AF905" s="237"/>
      <c r="AG905" s="237"/>
      <c r="AH905" s="237"/>
      <c r="AI905" s="237"/>
      <c r="AJ905" s="237"/>
      <c r="AK905" s="237"/>
      <c r="AL905" s="237"/>
      <c r="AM905" s="237"/>
      <c r="AN905" s="237"/>
      <c r="AO905" s="237"/>
      <c r="AP905" s="237"/>
      <c r="AQ905" s="237"/>
    </row>
    <row r="906" spans="1:43" s="451" customFormat="1" ht="35.450000000000003" customHeight="1">
      <c r="A906" s="237"/>
      <c r="B906" s="237"/>
      <c r="C906" s="237"/>
      <c r="D906" s="237"/>
      <c r="E906" s="237"/>
      <c r="F906" s="237"/>
      <c r="G906" s="237"/>
      <c r="H906" s="237"/>
      <c r="I906" s="237"/>
      <c r="J906" s="237"/>
      <c r="K906" s="237"/>
      <c r="L906" s="237"/>
      <c r="M906" s="237"/>
      <c r="N906" s="237"/>
      <c r="O906" s="237"/>
      <c r="P906" s="237"/>
      <c r="Q906" s="237"/>
      <c r="R906" s="237"/>
      <c r="S906" s="237"/>
      <c r="T906" s="237"/>
      <c r="U906" s="237"/>
      <c r="V906" s="237"/>
      <c r="W906" s="237"/>
      <c r="X906" s="237"/>
      <c r="Y906" s="237"/>
      <c r="Z906" s="237"/>
      <c r="AA906" s="237"/>
      <c r="AB906" s="237"/>
      <c r="AC906" s="237"/>
      <c r="AD906" s="237"/>
      <c r="AE906" s="237"/>
      <c r="AF906" s="237"/>
      <c r="AG906" s="237"/>
      <c r="AH906" s="237"/>
      <c r="AI906" s="237"/>
      <c r="AJ906" s="237"/>
      <c r="AK906" s="237"/>
      <c r="AL906" s="237"/>
      <c r="AM906" s="237"/>
      <c r="AN906" s="237"/>
      <c r="AO906" s="237"/>
      <c r="AP906" s="237"/>
      <c r="AQ906" s="237"/>
    </row>
    <row r="907" spans="1:43" s="451" customFormat="1" ht="35.450000000000003" customHeight="1">
      <c r="A907" s="237"/>
      <c r="B907" s="237"/>
      <c r="C907" s="237"/>
      <c r="D907" s="237"/>
      <c r="E907" s="237"/>
      <c r="F907" s="237"/>
      <c r="G907" s="237"/>
      <c r="H907" s="237"/>
      <c r="I907" s="237"/>
      <c r="J907" s="237"/>
      <c r="K907" s="237"/>
      <c r="L907" s="237"/>
      <c r="M907" s="237"/>
      <c r="N907" s="237"/>
      <c r="O907" s="237"/>
      <c r="P907" s="237"/>
      <c r="Q907" s="237"/>
      <c r="R907" s="237"/>
      <c r="S907" s="237"/>
      <c r="T907" s="237"/>
      <c r="U907" s="237"/>
      <c r="V907" s="237"/>
      <c r="W907" s="237"/>
      <c r="X907" s="237"/>
      <c r="Y907" s="237"/>
      <c r="Z907" s="237"/>
      <c r="AA907" s="237"/>
      <c r="AB907" s="237"/>
      <c r="AC907" s="237"/>
      <c r="AD907" s="237"/>
      <c r="AE907" s="237"/>
      <c r="AF907" s="237"/>
      <c r="AG907" s="237"/>
      <c r="AH907" s="237"/>
      <c r="AI907" s="237"/>
      <c r="AJ907" s="237"/>
      <c r="AK907" s="237"/>
      <c r="AL907" s="237"/>
      <c r="AM907" s="237"/>
      <c r="AN907" s="237"/>
      <c r="AO907" s="237"/>
      <c r="AP907" s="237"/>
      <c r="AQ907" s="237"/>
    </row>
    <row r="908" spans="1:43" s="451" customFormat="1" ht="35.450000000000003" customHeight="1">
      <c r="A908" s="237"/>
      <c r="B908" s="237"/>
      <c r="C908" s="237"/>
      <c r="D908" s="237"/>
      <c r="E908" s="237"/>
      <c r="F908" s="237"/>
      <c r="G908" s="237"/>
      <c r="H908" s="237"/>
      <c r="I908" s="237"/>
      <c r="J908" s="237"/>
      <c r="K908" s="237"/>
      <c r="L908" s="237"/>
      <c r="M908" s="237"/>
      <c r="N908" s="237"/>
      <c r="O908" s="237"/>
      <c r="P908" s="237"/>
      <c r="Q908" s="237"/>
      <c r="R908" s="237"/>
      <c r="S908" s="237"/>
      <c r="T908" s="237"/>
      <c r="U908" s="237"/>
      <c r="V908" s="237"/>
      <c r="W908" s="237"/>
      <c r="X908" s="237"/>
      <c r="Y908" s="237"/>
      <c r="Z908" s="237"/>
      <c r="AA908" s="237"/>
      <c r="AB908" s="237"/>
      <c r="AC908" s="237"/>
      <c r="AD908" s="237"/>
      <c r="AE908" s="237"/>
      <c r="AF908" s="237"/>
      <c r="AG908" s="237"/>
      <c r="AH908" s="237"/>
      <c r="AI908" s="237"/>
      <c r="AJ908" s="237"/>
      <c r="AK908" s="237"/>
      <c r="AL908" s="237"/>
      <c r="AM908" s="237"/>
      <c r="AN908" s="237"/>
      <c r="AO908" s="237"/>
      <c r="AP908" s="237"/>
      <c r="AQ908" s="237"/>
    </row>
    <row r="909" spans="1:43" s="451" customFormat="1" ht="35.450000000000003" customHeight="1">
      <c r="A909" s="452"/>
      <c r="B909" s="452"/>
      <c r="C909" s="452"/>
      <c r="D909" s="452"/>
      <c r="E909" s="452"/>
      <c r="F909" s="452"/>
      <c r="G909" s="452"/>
      <c r="H909" s="452"/>
      <c r="I909" s="452"/>
      <c r="J909" s="452"/>
      <c r="K909" s="452"/>
      <c r="L909" s="452"/>
      <c r="M909" s="237"/>
      <c r="N909" s="237"/>
      <c r="O909" s="237"/>
      <c r="P909" s="237"/>
      <c r="Q909" s="237"/>
      <c r="R909" s="237"/>
      <c r="S909" s="237"/>
      <c r="T909" s="237"/>
      <c r="U909" s="237"/>
      <c r="V909" s="237"/>
      <c r="W909" s="237"/>
      <c r="X909" s="237"/>
      <c r="Y909" s="237"/>
      <c r="Z909" s="237"/>
      <c r="AA909" s="237"/>
      <c r="AB909" s="237"/>
      <c r="AC909" s="237"/>
      <c r="AD909" s="237"/>
      <c r="AE909" s="237"/>
      <c r="AF909" s="237"/>
      <c r="AG909" s="237"/>
      <c r="AH909" s="237"/>
      <c r="AI909" s="237"/>
      <c r="AJ909" s="237"/>
      <c r="AK909" s="237"/>
      <c r="AL909" s="237"/>
      <c r="AM909" s="237"/>
      <c r="AN909" s="237"/>
      <c r="AO909" s="237"/>
      <c r="AP909" s="237"/>
      <c r="AQ909" s="237"/>
    </row>
    <row r="910" spans="1:43" s="451" customFormat="1" ht="35.450000000000003" customHeight="1">
      <c r="A910" s="452"/>
      <c r="B910" s="452"/>
      <c r="C910" s="452"/>
      <c r="D910" s="452"/>
      <c r="E910" s="452"/>
      <c r="F910" s="452"/>
      <c r="G910" s="452"/>
      <c r="H910" s="452"/>
      <c r="I910" s="452"/>
      <c r="J910" s="452"/>
      <c r="K910" s="452"/>
      <c r="L910" s="452"/>
      <c r="M910" s="237"/>
      <c r="N910" s="237"/>
      <c r="O910" s="237"/>
      <c r="P910" s="237"/>
      <c r="Q910" s="237"/>
      <c r="R910" s="237"/>
      <c r="S910" s="237"/>
      <c r="T910" s="237"/>
      <c r="U910" s="237"/>
      <c r="V910" s="237"/>
      <c r="W910" s="237"/>
      <c r="X910" s="237"/>
      <c r="Y910" s="237"/>
      <c r="Z910" s="237"/>
      <c r="AA910" s="237"/>
      <c r="AB910" s="237"/>
      <c r="AC910" s="237"/>
      <c r="AD910" s="237"/>
      <c r="AE910" s="237"/>
      <c r="AF910" s="237"/>
      <c r="AG910" s="237"/>
      <c r="AH910" s="237"/>
      <c r="AI910" s="237"/>
      <c r="AJ910" s="237"/>
      <c r="AK910" s="237"/>
      <c r="AL910" s="237"/>
      <c r="AM910" s="237"/>
      <c r="AN910" s="237"/>
      <c r="AO910" s="237"/>
      <c r="AP910" s="237"/>
      <c r="AQ910" s="237"/>
    </row>
    <row r="911" spans="1:43" s="451" customFormat="1" ht="35.450000000000003" customHeight="1">
      <c r="A911" s="452"/>
      <c r="B911" s="452"/>
      <c r="C911" s="452"/>
      <c r="D911" s="452"/>
      <c r="E911" s="452"/>
      <c r="F911" s="452"/>
      <c r="G911" s="452"/>
      <c r="H911" s="452"/>
      <c r="I911" s="452"/>
      <c r="J911" s="452"/>
      <c r="K911" s="452"/>
      <c r="L911" s="452"/>
      <c r="M911" s="237"/>
      <c r="N911" s="237"/>
      <c r="O911" s="237"/>
      <c r="P911" s="237"/>
      <c r="Q911" s="237"/>
      <c r="R911" s="237"/>
      <c r="S911" s="237"/>
      <c r="T911" s="237"/>
      <c r="U911" s="237"/>
      <c r="V911" s="237"/>
      <c r="W911" s="237"/>
      <c r="X911" s="237"/>
      <c r="Y911" s="237"/>
      <c r="Z911" s="237"/>
      <c r="AA911" s="237"/>
      <c r="AB911" s="237"/>
      <c r="AC911" s="237"/>
      <c r="AD911" s="237"/>
      <c r="AE911" s="237"/>
      <c r="AF911" s="237"/>
      <c r="AG911" s="237"/>
      <c r="AH911" s="237"/>
      <c r="AI911" s="237"/>
      <c r="AJ911" s="237"/>
      <c r="AK911" s="237"/>
      <c r="AL911" s="237"/>
      <c r="AM911" s="237"/>
      <c r="AN911" s="237"/>
      <c r="AO911" s="237"/>
      <c r="AP911" s="237"/>
      <c r="AQ911" s="237"/>
    </row>
  </sheetData>
  <mergeCells count="161">
    <mergeCell ref="AH5:AQ5"/>
    <mergeCell ref="N4:AG4"/>
    <mergeCell ref="AH4:AQ4"/>
    <mergeCell ref="L4:L11"/>
    <mergeCell ref="B4:B11"/>
    <mergeCell ref="A4:A11"/>
    <mergeCell ref="K6:K11"/>
    <mergeCell ref="B892:K892"/>
    <mergeCell ref="B891:D891"/>
    <mergeCell ref="F5:H5"/>
    <mergeCell ref="I5:K5"/>
    <mergeCell ref="C4:K4"/>
    <mergeCell ref="AA6:AA10"/>
    <mergeCell ref="AF6:AF11"/>
    <mergeCell ref="C6:C11"/>
    <mergeCell ref="D6:D11"/>
    <mergeCell ref="E6:E11"/>
    <mergeCell ref="F6:F11"/>
    <mergeCell ref="G6:G11"/>
    <mergeCell ref="AL8:AL11"/>
    <mergeCell ref="AM8:AM11"/>
    <mergeCell ref="AN8:AN11"/>
    <mergeCell ref="AO8:AO11"/>
    <mergeCell ref="AP8:AP11"/>
    <mergeCell ref="AQ8:AQ11"/>
    <mergeCell ref="AG6:AG8"/>
    <mergeCell ref="AH6:AL7"/>
    <mergeCell ref="AM6:AQ7"/>
    <mergeCell ref="AH8:AH11"/>
    <mergeCell ref="AI8:AI11"/>
    <mergeCell ref="AJ8:AJ11"/>
    <mergeCell ref="AK8:AK11"/>
    <mergeCell ref="X887:AE888"/>
    <mergeCell ref="AA2:AG2"/>
    <mergeCell ref="X6:X9"/>
    <mergeCell ref="Y6:Y8"/>
    <mergeCell ref="Z6:Z8"/>
    <mergeCell ref="AB6:AB8"/>
    <mergeCell ref="AC6:AC9"/>
    <mergeCell ref="AD6:AD8"/>
    <mergeCell ref="AE6:AE8"/>
    <mergeCell ref="N10:N11"/>
    <mergeCell ref="P10:P11"/>
    <mergeCell ref="R10:R11"/>
    <mergeCell ref="T10:T11"/>
    <mergeCell ref="V10:V11"/>
    <mergeCell ref="I790:I791"/>
    <mergeCell ref="I625:I628"/>
    <mergeCell ref="I644:I645"/>
    <mergeCell ref="I507:I513"/>
    <mergeCell ref="J507:J513"/>
    <mergeCell ref="K507:K513"/>
    <mergeCell ref="M4:M11"/>
    <mergeCell ref="C834:C835"/>
    <mergeCell ref="N3:V3"/>
    <mergeCell ref="N5:W5"/>
    <mergeCell ref="N6:O9"/>
    <mergeCell ref="P6:Q9"/>
    <mergeCell ref="R6:S9"/>
    <mergeCell ref="H691:H710"/>
    <mergeCell ref="I692:I704"/>
    <mergeCell ref="I705:I708"/>
    <mergeCell ref="J705:J708"/>
    <mergeCell ref="K705:K708"/>
    <mergeCell ref="C685:C686"/>
    <mergeCell ref="C691:C713"/>
    <mergeCell ref="D691:D713"/>
    <mergeCell ref="E691:E713"/>
    <mergeCell ref="F691:F710"/>
    <mergeCell ref="G691:G710"/>
    <mergeCell ref="I664:I667"/>
    <mergeCell ref="F666:F670"/>
    <mergeCell ref="T6:U9"/>
    <mergeCell ref="V6:W9"/>
    <mergeCell ref="G666:G670"/>
    <mergeCell ref="H666:H670"/>
    <mergeCell ref="H622:H626"/>
    <mergeCell ref="I587:I588"/>
    <mergeCell ref="J587:J588"/>
    <mergeCell ref="K587:K588"/>
    <mergeCell ref="K583:K584"/>
    <mergeCell ref="K585:K586"/>
    <mergeCell ref="C671:C673"/>
    <mergeCell ref="D671:D673"/>
    <mergeCell ref="E671:E673"/>
    <mergeCell ref="C662:C669"/>
    <mergeCell ref="D662:D669"/>
    <mergeCell ref="E662:E669"/>
    <mergeCell ref="F662:F665"/>
    <mergeCell ref="G662:G665"/>
    <mergeCell ref="H662:H665"/>
    <mergeCell ref="C656:C660"/>
    <mergeCell ref="D656:D660"/>
    <mergeCell ref="E656:E660"/>
    <mergeCell ref="F656:F659"/>
    <mergeCell ref="G656:G659"/>
    <mergeCell ref="C622:C626"/>
    <mergeCell ref="D622:D626"/>
    <mergeCell ref="E622:E626"/>
    <mergeCell ref="F622:F626"/>
    <mergeCell ref="G622:G626"/>
    <mergeCell ref="C616:C621"/>
    <mergeCell ref="D616:D621"/>
    <mergeCell ref="E616:E621"/>
    <mergeCell ref="F616:F621"/>
    <mergeCell ref="G616:G621"/>
    <mergeCell ref="H616:H621"/>
    <mergeCell ref="F582:F589"/>
    <mergeCell ref="I583:I584"/>
    <mergeCell ref="J583:J584"/>
    <mergeCell ref="C584:C589"/>
    <mergeCell ref="D584:D589"/>
    <mergeCell ref="E584:E589"/>
    <mergeCell ref="I585:I586"/>
    <mergeCell ref="J585:J586"/>
    <mergeCell ref="C558:C565"/>
    <mergeCell ref="D558:D565"/>
    <mergeCell ref="E558:E565"/>
    <mergeCell ref="I563:I564"/>
    <mergeCell ref="C478:C504"/>
    <mergeCell ref="D478:D504"/>
    <mergeCell ref="E478:E504"/>
    <mergeCell ref="C507:C556"/>
    <mergeCell ref="D507:D556"/>
    <mergeCell ref="E507:E556"/>
    <mergeCell ref="C466:C467"/>
    <mergeCell ref="D466:D467"/>
    <mergeCell ref="E466:E467"/>
    <mergeCell ref="F466:F467"/>
    <mergeCell ref="G466:G467"/>
    <mergeCell ref="H466:H467"/>
    <mergeCell ref="C345:C347"/>
    <mergeCell ref="D345:D347"/>
    <mergeCell ref="E345:E347"/>
    <mergeCell ref="C153:C155"/>
    <mergeCell ref="C165:C167"/>
    <mergeCell ref="C172:C173"/>
    <mergeCell ref="I176:I177"/>
    <mergeCell ref="I190:I193"/>
    <mergeCell ref="C195:C201"/>
    <mergeCell ref="I195:I201"/>
    <mergeCell ref="C142:C147"/>
    <mergeCell ref="D142:D147"/>
    <mergeCell ref="E142:E147"/>
    <mergeCell ref="I149:I150"/>
    <mergeCell ref="C5:E5"/>
    <mergeCell ref="C19:C23"/>
    <mergeCell ref="D19:D21"/>
    <mergeCell ref="E19:E21"/>
    <mergeCell ref="H6:H11"/>
    <mergeCell ref="I6:I11"/>
    <mergeCell ref="J6:J11"/>
    <mergeCell ref="J149:J150"/>
    <mergeCell ref="K149:K150"/>
    <mergeCell ref="C108:C141"/>
    <mergeCell ref="D108:D141"/>
    <mergeCell ref="E108:E141"/>
    <mergeCell ref="C38:C58"/>
    <mergeCell ref="D38:D58"/>
    <mergeCell ref="E38:E58"/>
    <mergeCell ref="C63:C64"/>
  </mergeCells>
  <pageMargins left="0.11811023622047245" right="0.11811023622047245" top="0.15748031496062992" bottom="0.15748031496062992"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2026-04-06T01:12:14Z</dcterms:modified>
</cp:coreProperties>
</file>