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5120" windowHeight="8010"/>
  </bookViews>
  <sheets>
    <sheet name="рро на 01.03.26 " sheetId="5" r:id="rId1"/>
  </sheets>
  <calcPr calcId="125725"/>
</workbook>
</file>

<file path=xl/calcChain.xml><?xml version="1.0" encoding="utf-8"?>
<calcChain xmlns="http://schemas.openxmlformats.org/spreadsheetml/2006/main">
  <c r="O367" i="5"/>
  <c r="P367"/>
  <c r="Q367"/>
  <c r="R367"/>
  <c r="S367"/>
  <c r="T367"/>
  <c r="U367"/>
  <c r="V367"/>
  <c r="W367"/>
  <c r="X367"/>
  <c r="Y367"/>
  <c r="Z367"/>
  <c r="AA367"/>
  <c r="AB367"/>
  <c r="AC367"/>
  <c r="AD367"/>
  <c r="AE367"/>
  <c r="AF367"/>
  <c r="AG367"/>
  <c r="N367"/>
  <c r="O363"/>
  <c r="P363"/>
  <c r="Q363"/>
  <c r="R363"/>
  <c r="T363"/>
  <c r="U363"/>
  <c r="V363"/>
  <c r="W363"/>
  <c r="Y363"/>
  <c r="Z363"/>
  <c r="AA363"/>
  <c r="AB363"/>
  <c r="AD363"/>
  <c r="AE363"/>
  <c r="AF363"/>
  <c r="AG363"/>
  <c r="O327"/>
  <c r="P327"/>
  <c r="Q327"/>
  <c r="R327"/>
  <c r="T327"/>
  <c r="U327"/>
  <c r="V327"/>
  <c r="W327"/>
  <c r="Y327"/>
  <c r="Z327"/>
  <c r="AA327"/>
  <c r="AB327"/>
  <c r="AD327"/>
  <c r="AE327"/>
  <c r="AF327"/>
  <c r="AG327"/>
  <c r="O305"/>
  <c r="P305"/>
  <c r="P303" s="1"/>
  <c r="Q305"/>
  <c r="Q303" s="1"/>
  <c r="R305"/>
  <c r="R303" s="1"/>
  <c r="T305"/>
  <c r="T303" s="1"/>
  <c r="U305"/>
  <c r="U303" s="1"/>
  <c r="V305"/>
  <c r="W305"/>
  <c r="W303" s="1"/>
  <c r="Y305"/>
  <c r="Y303" s="1"/>
  <c r="Z305"/>
  <c r="Z303" s="1"/>
  <c r="AA305"/>
  <c r="AA303" s="1"/>
  <c r="AB305"/>
  <c r="AB303" s="1"/>
  <c r="AD305"/>
  <c r="AD303" s="1"/>
  <c r="AE305"/>
  <c r="AE303" s="1"/>
  <c r="AF305"/>
  <c r="AF303" s="1"/>
  <c r="AG305"/>
  <c r="AG303" s="1"/>
  <c r="O279"/>
  <c r="P279"/>
  <c r="Q279"/>
  <c r="R279"/>
  <c r="T279"/>
  <c r="U279"/>
  <c r="V279"/>
  <c r="W279"/>
  <c r="Y279"/>
  <c r="Z279"/>
  <c r="AA279"/>
  <c r="AB279"/>
  <c r="AD279"/>
  <c r="AE279"/>
  <c r="AF279"/>
  <c r="AG279"/>
  <c r="O107"/>
  <c r="P107"/>
  <c r="Q107"/>
  <c r="T107"/>
  <c r="U107"/>
  <c r="V107"/>
  <c r="W107"/>
  <c r="Y107"/>
  <c r="Z107"/>
  <c r="AA107"/>
  <c r="AB107"/>
  <c r="AD107"/>
  <c r="AE107"/>
  <c r="AF107"/>
  <c r="AG107"/>
  <c r="O55"/>
  <c r="P55"/>
  <c r="Q55"/>
  <c r="T55"/>
  <c r="V55"/>
  <c r="Y55"/>
  <c r="Z55"/>
  <c r="AA55"/>
  <c r="AD55"/>
  <c r="AE55"/>
  <c r="AF55"/>
  <c r="O39"/>
  <c r="P39"/>
  <c r="Q39"/>
  <c r="R39"/>
  <c r="T39"/>
  <c r="U39"/>
  <c r="V39"/>
  <c r="W39"/>
  <c r="Y39"/>
  <c r="Z39"/>
  <c r="AA39"/>
  <c r="AD39"/>
  <c r="AE39"/>
  <c r="AF39"/>
  <c r="O48"/>
  <c r="P48"/>
  <c r="Q48"/>
  <c r="R48"/>
  <c r="T48"/>
  <c r="U48"/>
  <c r="V48"/>
  <c r="W48"/>
  <c r="Y48"/>
  <c r="Z48"/>
  <c r="AA48"/>
  <c r="AB48"/>
  <c r="AD48"/>
  <c r="AE48"/>
  <c r="AF48"/>
  <c r="AG48"/>
  <c r="O394"/>
  <c r="P394"/>
  <c r="Q394"/>
  <c r="R394"/>
  <c r="T394"/>
  <c r="U394"/>
  <c r="V394"/>
  <c r="W394"/>
  <c r="Y394"/>
  <c r="Z394"/>
  <c r="AA394"/>
  <c r="AB394"/>
  <c r="AD394"/>
  <c r="AE394"/>
  <c r="AF394"/>
  <c r="AG394"/>
  <c r="O389"/>
  <c r="P389"/>
  <c r="Q389"/>
  <c r="R389"/>
  <c r="T389"/>
  <c r="U389"/>
  <c r="V389"/>
  <c r="W389"/>
  <c r="Y389"/>
  <c r="Z389"/>
  <c r="AA389"/>
  <c r="AB389"/>
  <c r="AD389"/>
  <c r="AE389"/>
  <c r="AF389"/>
  <c r="AG389"/>
  <c r="O383"/>
  <c r="P383"/>
  <c r="Q383"/>
  <c r="R383"/>
  <c r="T383"/>
  <c r="U383"/>
  <c r="V383"/>
  <c r="W383"/>
  <c r="Y383"/>
  <c r="Z383"/>
  <c r="AA383"/>
  <c r="AB383"/>
  <c r="AD383"/>
  <c r="AE383"/>
  <c r="AF383"/>
  <c r="AG383"/>
  <c r="O303"/>
  <c r="V303"/>
  <c r="O276"/>
  <c r="P276"/>
  <c r="Q276"/>
  <c r="R276"/>
  <c r="T276"/>
  <c r="V276"/>
  <c r="W276"/>
  <c r="Y276"/>
  <c r="Z276"/>
  <c r="AA276"/>
  <c r="AB276"/>
  <c r="AD276"/>
  <c r="AE276"/>
  <c r="AF276"/>
  <c r="AG276"/>
  <c r="O199"/>
  <c r="Q199"/>
  <c r="T199"/>
  <c r="U199"/>
  <c r="V199"/>
  <c r="W199"/>
  <c r="Y199"/>
  <c r="Z199"/>
  <c r="AA199"/>
  <c r="AB199"/>
  <c r="AD199"/>
  <c r="AE199"/>
  <c r="AF199"/>
  <c r="AG199"/>
  <c r="O188"/>
  <c r="P188"/>
  <c r="Q188"/>
  <c r="T188"/>
  <c r="U188"/>
  <c r="V188"/>
  <c r="W188"/>
  <c r="Y188"/>
  <c r="Z188"/>
  <c r="AA188"/>
  <c r="AB188"/>
  <c r="AD188"/>
  <c r="AE188"/>
  <c r="AF188"/>
  <c r="AG188"/>
  <c r="O186"/>
  <c r="P186"/>
  <c r="Q186"/>
  <c r="R186"/>
  <c r="T186"/>
  <c r="U186"/>
  <c r="V186"/>
  <c r="W186"/>
  <c r="Y186"/>
  <c r="Z186"/>
  <c r="AA186"/>
  <c r="AB186"/>
  <c r="AD186"/>
  <c r="AE186"/>
  <c r="AF186"/>
  <c r="AG186"/>
  <c r="O122"/>
  <c r="P122"/>
  <c r="Q122"/>
  <c r="T122"/>
  <c r="U122"/>
  <c r="V122"/>
  <c r="Y122"/>
  <c r="Z122"/>
  <c r="AA122"/>
  <c r="AD122"/>
  <c r="AE122"/>
  <c r="AF122"/>
  <c r="P69"/>
  <c r="Q69"/>
  <c r="T69"/>
  <c r="U69"/>
  <c r="V69"/>
  <c r="Y69"/>
  <c r="Z69"/>
  <c r="AA69"/>
  <c r="AD69"/>
  <c r="AE69"/>
  <c r="AF69"/>
  <c r="O52"/>
  <c r="P52"/>
  <c r="Q52"/>
  <c r="R52"/>
  <c r="T52"/>
  <c r="U52"/>
  <c r="V52"/>
  <c r="W52"/>
  <c r="Y52"/>
  <c r="Z52"/>
  <c r="AA52"/>
  <c r="AB52"/>
  <c r="AD52"/>
  <c r="AE52"/>
  <c r="AF52"/>
  <c r="AG52"/>
  <c r="AG403"/>
  <c r="AC403" s="1"/>
  <c r="AB403"/>
  <c r="X403" s="1"/>
  <c r="AC397"/>
  <c r="X397"/>
  <c r="AC396"/>
  <c r="X396"/>
  <c r="AC395"/>
  <c r="X395"/>
  <c r="AC393"/>
  <c r="X393"/>
  <c r="AC392"/>
  <c r="X392"/>
  <c r="AC391"/>
  <c r="X391"/>
  <c r="AC390"/>
  <c r="X390"/>
  <c r="AC388"/>
  <c r="X388"/>
  <c r="AC387"/>
  <c r="X387"/>
  <c r="AC386"/>
  <c r="X386"/>
  <c r="AC385"/>
  <c r="X385"/>
  <c r="AC384"/>
  <c r="X384"/>
  <c r="AC378"/>
  <c r="X378"/>
  <c r="AC377"/>
  <c r="X377"/>
  <c r="AG376"/>
  <c r="AF376"/>
  <c r="AE376"/>
  <c r="AD376"/>
  <c r="AB376"/>
  <c r="AA376"/>
  <c r="Z376"/>
  <c r="Y376"/>
  <c r="AC375"/>
  <c r="X375"/>
  <c r="AC374"/>
  <c r="X374"/>
  <c r="AG373"/>
  <c r="AF373"/>
  <c r="AE373"/>
  <c r="AD373"/>
  <c r="AB373"/>
  <c r="AA373"/>
  <c r="Z373"/>
  <c r="Y373"/>
  <c r="AC372"/>
  <c r="X372"/>
  <c r="AC371"/>
  <c r="X371"/>
  <c r="AC370"/>
  <c r="X370"/>
  <c r="AC369"/>
  <c r="X369"/>
  <c r="AC368"/>
  <c r="X368"/>
  <c r="AC366"/>
  <c r="X366"/>
  <c r="AC365"/>
  <c r="X365"/>
  <c r="AC364"/>
  <c r="AC363" s="1"/>
  <c r="X364"/>
  <c r="X363" s="1"/>
  <c r="AC362"/>
  <c r="X362"/>
  <c r="AC361"/>
  <c r="X361"/>
  <c r="AC360"/>
  <c r="X360"/>
  <c r="AG359"/>
  <c r="AF359"/>
  <c r="AE359"/>
  <c r="AD359"/>
  <c r="AB359"/>
  <c r="AA359"/>
  <c r="Z359"/>
  <c r="Y359"/>
  <c r="AC358"/>
  <c r="AC357" s="1"/>
  <c r="X358"/>
  <c r="X357" s="1"/>
  <c r="AG357"/>
  <c r="AF357"/>
  <c r="AE357"/>
  <c r="AD357"/>
  <c r="AB357"/>
  <c r="AA357"/>
  <c r="Z357"/>
  <c r="Y357"/>
  <c r="AC356"/>
  <c r="X356"/>
  <c r="AC355"/>
  <c r="X355"/>
  <c r="AG354"/>
  <c r="AF354"/>
  <c r="AE354"/>
  <c r="AD354"/>
  <c r="AB354"/>
  <c r="AA354"/>
  <c r="Z354"/>
  <c r="Y354"/>
  <c r="AC353"/>
  <c r="X353"/>
  <c r="AC352"/>
  <c r="X352"/>
  <c r="AC351"/>
  <c r="X351"/>
  <c r="AC350"/>
  <c r="X350"/>
  <c r="AC349"/>
  <c r="X349"/>
  <c r="AC348"/>
  <c r="X348"/>
  <c r="AC347"/>
  <c r="X347"/>
  <c r="AC346"/>
  <c r="X346"/>
  <c r="AC345"/>
  <c r="X345"/>
  <c r="AG344"/>
  <c r="AF344"/>
  <c r="AE344"/>
  <c r="AD344"/>
  <c r="AB344"/>
  <c r="AA344"/>
  <c r="Z344"/>
  <c r="Y344"/>
  <c r="AC343"/>
  <c r="X343"/>
  <c r="AC342"/>
  <c r="X342"/>
  <c r="AC341"/>
  <c r="X341"/>
  <c r="AC340"/>
  <c r="X340"/>
  <c r="AC339"/>
  <c r="X339"/>
  <c r="AC338"/>
  <c r="X338"/>
  <c r="AC337"/>
  <c r="X337"/>
  <c r="AC336"/>
  <c r="X336"/>
  <c r="AC335"/>
  <c r="X335"/>
  <c r="AC334"/>
  <c r="X334"/>
  <c r="AC333"/>
  <c r="X333"/>
  <c r="AC332"/>
  <c r="X332"/>
  <c r="AC331"/>
  <c r="X331"/>
  <c r="AC330"/>
  <c r="X330"/>
  <c r="AC329"/>
  <c r="X329"/>
  <c r="X327" s="1"/>
  <c r="AC328"/>
  <c r="X328"/>
  <c r="AC323"/>
  <c r="X323"/>
  <c r="AC322"/>
  <c r="X322"/>
  <c r="AC321"/>
  <c r="X321"/>
  <c r="AG320"/>
  <c r="AF320"/>
  <c r="AE320"/>
  <c r="AD320"/>
  <c r="AB320"/>
  <c r="AA320"/>
  <c r="Z320"/>
  <c r="Y320"/>
  <c r="AC319"/>
  <c r="AC318" s="1"/>
  <c r="X319"/>
  <c r="X318" s="1"/>
  <c r="AG318"/>
  <c r="AF318"/>
  <c r="AE318"/>
  <c r="AD318"/>
  <c r="AB318"/>
  <c r="AA318"/>
  <c r="Z318"/>
  <c r="Y318"/>
  <c r="AC309"/>
  <c r="X309"/>
  <c r="AC308"/>
  <c r="X308"/>
  <c r="AC307"/>
  <c r="X307"/>
  <c r="X305" s="1"/>
  <c r="AC306"/>
  <c r="X306"/>
  <c r="AC298"/>
  <c r="X298"/>
  <c r="AC297"/>
  <c r="X297"/>
  <c r="AG295"/>
  <c r="AF295"/>
  <c r="AE295"/>
  <c r="AD295"/>
  <c r="AB295"/>
  <c r="AA295"/>
  <c r="Z295"/>
  <c r="Y295"/>
  <c r="AC292"/>
  <c r="X292"/>
  <c r="AC291"/>
  <c r="X291"/>
  <c r="AG290"/>
  <c r="AF290"/>
  <c r="AE290"/>
  <c r="AD290"/>
  <c r="AB290"/>
  <c r="AA290"/>
  <c r="Z290"/>
  <c r="Y290"/>
  <c r="AC288"/>
  <c r="AC287" s="1"/>
  <c r="X288"/>
  <c r="X287" s="1"/>
  <c r="AG287"/>
  <c r="AF287"/>
  <c r="AE287"/>
  <c r="AD287"/>
  <c r="AB287"/>
  <c r="AA287"/>
  <c r="Z287"/>
  <c r="Y287"/>
  <c r="AC283"/>
  <c r="X283"/>
  <c r="AC282"/>
  <c r="X282"/>
  <c r="AC281"/>
  <c r="X281"/>
  <c r="AC280"/>
  <c r="X280"/>
  <c r="X279" s="1"/>
  <c r="AC278"/>
  <c r="X278"/>
  <c r="AC277"/>
  <c r="X277"/>
  <c r="AC275"/>
  <c r="X275"/>
  <c r="AC274"/>
  <c r="X274"/>
  <c r="AG273"/>
  <c r="AF273"/>
  <c r="AE273"/>
  <c r="AD273"/>
  <c r="AB273"/>
  <c r="AA273"/>
  <c r="Z273"/>
  <c r="Y273"/>
  <c r="AC272"/>
  <c r="X272"/>
  <c r="AC271"/>
  <c r="X271"/>
  <c r="AG270"/>
  <c r="AF270"/>
  <c r="AE270"/>
  <c r="AD270"/>
  <c r="AB270"/>
  <c r="AA270"/>
  <c r="Z270"/>
  <c r="Y270"/>
  <c r="AC269"/>
  <c r="X269"/>
  <c r="AC268"/>
  <c r="X268"/>
  <c r="AC267"/>
  <c r="X267"/>
  <c r="AC266"/>
  <c r="X266"/>
  <c r="AC265"/>
  <c r="X265"/>
  <c r="AC264"/>
  <c r="X264"/>
  <c r="AC263"/>
  <c r="X263"/>
  <c r="AC262"/>
  <c r="X262"/>
  <c r="AC261"/>
  <c r="X261"/>
  <c r="AC260"/>
  <c r="X260"/>
  <c r="AG259"/>
  <c r="AF259"/>
  <c r="AE259"/>
  <c r="AD259"/>
  <c r="AB259"/>
  <c r="AA259"/>
  <c r="Z259"/>
  <c r="Y259"/>
  <c r="AG257"/>
  <c r="AF257"/>
  <c r="AE257"/>
  <c r="AD257"/>
  <c r="AC257"/>
  <c r="AB257"/>
  <c r="AA257"/>
  <c r="Z257"/>
  <c r="Y257"/>
  <c r="X257"/>
  <c r="AC255"/>
  <c r="X255"/>
  <c r="AC253"/>
  <c r="X253"/>
  <c r="AC252"/>
  <c r="X252"/>
  <c r="AC250"/>
  <c r="X250"/>
  <c r="AC248"/>
  <c r="X248"/>
  <c r="AC246"/>
  <c r="X246"/>
  <c r="AC245"/>
  <c r="X245"/>
  <c r="AC243"/>
  <c r="X243"/>
  <c r="AC242"/>
  <c r="X242"/>
  <c r="AC240"/>
  <c r="X240"/>
  <c r="AC239"/>
  <c r="X239"/>
  <c r="AC237"/>
  <c r="X237"/>
  <c r="AC236"/>
  <c r="X236"/>
  <c r="AC234"/>
  <c r="X234"/>
  <c r="AG233"/>
  <c r="AF233"/>
  <c r="AE233"/>
  <c r="AD233"/>
  <c r="AB233"/>
  <c r="AA233"/>
  <c r="Z233"/>
  <c r="Y233"/>
  <c r="AC232"/>
  <c r="X232"/>
  <c r="AC231"/>
  <c r="X231"/>
  <c r="AC229"/>
  <c r="X229"/>
  <c r="AC228"/>
  <c r="X228"/>
  <c r="AC227"/>
  <c r="X227"/>
  <c r="AC225"/>
  <c r="X225"/>
  <c r="AC224"/>
  <c r="X224"/>
  <c r="AC222"/>
  <c r="X222"/>
  <c r="AC221"/>
  <c r="X221"/>
  <c r="AC219"/>
  <c r="X219"/>
  <c r="AC218"/>
  <c r="X218"/>
  <c r="AC217"/>
  <c r="X217"/>
  <c r="AC215"/>
  <c r="X215"/>
  <c r="AC214"/>
  <c r="X214"/>
  <c r="AC213"/>
  <c r="X213"/>
  <c r="AC212"/>
  <c r="X212"/>
  <c r="AC211"/>
  <c r="X211"/>
  <c r="AC210"/>
  <c r="X210"/>
  <c r="AC208"/>
  <c r="X208"/>
  <c r="AC206"/>
  <c r="X206"/>
  <c r="AC205"/>
  <c r="X205"/>
  <c r="AC204"/>
  <c r="X204"/>
  <c r="AC203"/>
  <c r="X203"/>
  <c r="AC202"/>
  <c r="X202"/>
  <c r="AC200"/>
  <c r="X200"/>
  <c r="AC195"/>
  <c r="AC194" s="1"/>
  <c r="X195"/>
  <c r="X194" s="1"/>
  <c r="AG194"/>
  <c r="AF194"/>
  <c r="AE194"/>
  <c r="AD194"/>
  <c r="AB194"/>
  <c r="AA194"/>
  <c r="Z194"/>
  <c r="Y194"/>
  <c r="AC193"/>
  <c r="X193"/>
  <c r="AC192"/>
  <c r="X192"/>
  <c r="AC191"/>
  <c r="X191"/>
  <c r="AC190"/>
  <c r="X190"/>
  <c r="AC189"/>
  <c r="X189"/>
  <c r="AC187"/>
  <c r="AC186" s="1"/>
  <c r="X187"/>
  <c r="X186" s="1"/>
  <c r="AC184"/>
  <c r="AC183" s="1"/>
  <c r="X184"/>
  <c r="X183" s="1"/>
  <c r="AG183"/>
  <c r="AF183"/>
  <c r="AE183"/>
  <c r="AD183"/>
  <c r="AB183"/>
  <c r="AA183"/>
  <c r="Z183"/>
  <c r="Y183"/>
  <c r="AC182"/>
  <c r="AC181" s="1"/>
  <c r="X182"/>
  <c r="X181" s="1"/>
  <c r="AG181"/>
  <c r="AF181"/>
  <c r="AE181"/>
  <c r="AD181"/>
  <c r="AB181"/>
  <c r="AA181"/>
  <c r="Z181"/>
  <c r="Y181"/>
  <c r="AG179"/>
  <c r="AF179"/>
  <c r="AE179"/>
  <c r="AD179"/>
  <c r="AC179"/>
  <c r="AB179"/>
  <c r="AA179"/>
  <c r="Z179"/>
  <c r="Y179"/>
  <c r="X179"/>
  <c r="AC177"/>
  <c r="X177"/>
  <c r="AC176"/>
  <c r="X176"/>
  <c r="AC175"/>
  <c r="X175"/>
  <c r="AC174"/>
  <c r="X174"/>
  <c r="AC173"/>
  <c r="X173"/>
  <c r="AC172"/>
  <c r="X172"/>
  <c r="AC171"/>
  <c r="X171"/>
  <c r="AC170"/>
  <c r="X170"/>
  <c r="AC169"/>
  <c r="X169"/>
  <c r="AC168"/>
  <c r="X168"/>
  <c r="AC167"/>
  <c r="X167"/>
  <c r="AG166"/>
  <c r="AF166"/>
  <c r="AE166"/>
  <c r="AD166"/>
  <c r="AB166"/>
  <c r="AA166"/>
  <c r="Z166"/>
  <c r="Y166"/>
  <c r="AC163"/>
  <c r="AC162" s="1"/>
  <c r="X163"/>
  <c r="X162" s="1"/>
  <c r="AG162"/>
  <c r="AF162"/>
  <c r="AE162"/>
  <c r="AD162"/>
  <c r="AB162"/>
  <c r="AA162"/>
  <c r="Z162"/>
  <c r="Y162"/>
  <c r="AC161"/>
  <c r="AC159" s="1"/>
  <c r="X161"/>
  <c r="X159" s="1"/>
  <c r="AG159"/>
  <c r="AF159"/>
  <c r="AE159"/>
  <c r="AD159"/>
  <c r="AB159"/>
  <c r="AA159"/>
  <c r="Z159"/>
  <c r="Y159"/>
  <c r="AC158"/>
  <c r="X158"/>
  <c r="AC157"/>
  <c r="X157"/>
  <c r="AG156"/>
  <c r="AF156" s="1"/>
  <c r="AE156" s="1"/>
  <c r="AD156" s="1"/>
  <c r="AC156" s="1"/>
  <c r="AB156"/>
  <c r="AA156" s="1"/>
  <c r="Z156" s="1"/>
  <c r="Y156" s="1"/>
  <c r="X156" s="1"/>
  <c r="AC155"/>
  <c r="X155"/>
  <c r="AC154"/>
  <c r="X154"/>
  <c r="AG153"/>
  <c r="AF153"/>
  <c r="AE153"/>
  <c r="AD153"/>
  <c r="AB153"/>
  <c r="AA153"/>
  <c r="Z153"/>
  <c r="Y153"/>
  <c r="AC150"/>
  <c r="X150"/>
  <c r="AC149"/>
  <c r="X149"/>
  <c r="AC148"/>
  <c r="X148"/>
  <c r="AC144"/>
  <c r="X144"/>
  <c r="AC143"/>
  <c r="X143"/>
  <c r="AC142"/>
  <c r="X142"/>
  <c r="AC141"/>
  <c r="X141"/>
  <c r="AC140"/>
  <c r="X140"/>
  <c r="AG139"/>
  <c r="AF139"/>
  <c r="AE139"/>
  <c r="AD139"/>
  <c r="AB139"/>
  <c r="AA139"/>
  <c r="Z139"/>
  <c r="Y139"/>
  <c r="AC138"/>
  <c r="X138"/>
  <c r="AC137"/>
  <c r="X137"/>
  <c r="AG136"/>
  <c r="AC136" s="1"/>
  <c r="AB136"/>
  <c r="X136" s="1"/>
  <c r="AG135"/>
  <c r="AC135" s="1"/>
  <c r="AB135"/>
  <c r="X135" s="1"/>
  <c r="AG134"/>
  <c r="AC134" s="1"/>
  <c r="AB134"/>
  <c r="X134" s="1"/>
  <c r="AC132"/>
  <c r="X132"/>
  <c r="AC131"/>
  <c r="X131"/>
  <c r="AC130"/>
  <c r="X130"/>
  <c r="AC129"/>
  <c r="X129"/>
  <c r="AC128"/>
  <c r="X128"/>
  <c r="AC125"/>
  <c r="X125"/>
  <c r="AC124"/>
  <c r="X124"/>
  <c r="AC123"/>
  <c r="X123"/>
  <c r="AC121"/>
  <c r="X121"/>
  <c r="AC120"/>
  <c r="X120"/>
  <c r="AC119"/>
  <c r="X119"/>
  <c r="AC118"/>
  <c r="X118"/>
  <c r="AC117"/>
  <c r="X117"/>
  <c r="AC116"/>
  <c r="X116"/>
  <c r="AG115"/>
  <c r="AF115"/>
  <c r="AE115"/>
  <c r="AD115"/>
  <c r="AB115"/>
  <c r="AA115"/>
  <c r="Z115"/>
  <c r="Y115"/>
  <c r="AC114"/>
  <c r="X114"/>
  <c r="AC113"/>
  <c r="X113"/>
  <c r="AC112"/>
  <c r="X112"/>
  <c r="AC111"/>
  <c r="X111"/>
  <c r="AC110"/>
  <c r="X110"/>
  <c r="AC109"/>
  <c r="X109"/>
  <c r="AC108"/>
  <c r="X108"/>
  <c r="X107" s="1"/>
  <c r="AC105"/>
  <c r="X105"/>
  <c r="AC104"/>
  <c r="X104"/>
  <c r="AC103"/>
  <c r="X103"/>
  <c r="AC102"/>
  <c r="X102"/>
  <c r="AC101"/>
  <c r="X101"/>
  <c r="AC100"/>
  <c r="X100"/>
  <c r="AC99"/>
  <c r="X99"/>
  <c r="AC98"/>
  <c r="X98"/>
  <c r="AG97"/>
  <c r="AC97" s="1"/>
  <c r="AB97"/>
  <c r="X97" s="1"/>
  <c r="AC96"/>
  <c r="X96"/>
  <c r="AG95"/>
  <c r="AC95" s="1"/>
  <c r="AB95"/>
  <c r="AB89" s="1"/>
  <c r="AC94"/>
  <c r="X94"/>
  <c r="AC93"/>
  <c r="X93"/>
  <c r="AC92"/>
  <c r="X92"/>
  <c r="AG89"/>
  <c r="AF89"/>
  <c r="AE89"/>
  <c r="AD89"/>
  <c r="AA89"/>
  <c r="Z89"/>
  <c r="Y89"/>
  <c r="AC88"/>
  <c r="X88"/>
  <c r="AG87"/>
  <c r="AC87" s="1"/>
  <c r="AB87"/>
  <c r="X87" s="1"/>
  <c r="AC86"/>
  <c r="X86"/>
  <c r="AC85"/>
  <c r="X85"/>
  <c r="AC84"/>
  <c r="X84"/>
  <c r="AC83"/>
  <c r="X83"/>
  <c r="AC82"/>
  <c r="X82"/>
  <c r="AC79"/>
  <c r="X79"/>
  <c r="AC78"/>
  <c r="X78"/>
  <c r="AC77"/>
  <c r="X77"/>
  <c r="AC76"/>
  <c r="X76"/>
  <c r="AC75"/>
  <c r="X75"/>
  <c r="AC74"/>
  <c r="X74"/>
  <c r="AC73"/>
  <c r="X73"/>
  <c r="AC72"/>
  <c r="X72"/>
  <c r="AC71"/>
  <c r="X71"/>
  <c r="AC70"/>
  <c r="X70"/>
  <c r="AC68"/>
  <c r="X68"/>
  <c r="AG67"/>
  <c r="AC67" s="1"/>
  <c r="AB67"/>
  <c r="X67" s="1"/>
  <c r="AC66"/>
  <c r="X66"/>
  <c r="AC65"/>
  <c r="X65"/>
  <c r="AC64"/>
  <c r="X64"/>
  <c r="AC63"/>
  <c r="X63"/>
  <c r="AC62"/>
  <c r="X62"/>
  <c r="AC61"/>
  <c r="X61"/>
  <c r="AC60"/>
  <c r="X60"/>
  <c r="AC59"/>
  <c r="X59"/>
  <c r="AC58"/>
  <c r="AC57"/>
  <c r="X57"/>
  <c r="AC56"/>
  <c r="X56"/>
  <c r="AC54"/>
  <c r="X54"/>
  <c r="AC53"/>
  <c r="X53"/>
  <c r="AC51"/>
  <c r="X51"/>
  <c r="AC50"/>
  <c r="X50"/>
  <c r="AC49"/>
  <c r="X49"/>
  <c r="AC47"/>
  <c r="X47"/>
  <c r="AC46"/>
  <c r="X46"/>
  <c r="AG45"/>
  <c r="AF45"/>
  <c r="AE45"/>
  <c r="AD45"/>
  <c r="AB45"/>
  <c r="AA45"/>
  <c r="Z45"/>
  <c r="Y45"/>
  <c r="AG44"/>
  <c r="AC44" s="1"/>
  <c r="AB44"/>
  <c r="X44" s="1"/>
  <c r="X43"/>
  <c r="X42"/>
  <c r="AC41"/>
  <c r="X41"/>
  <c r="AC40"/>
  <c r="X40"/>
  <c r="AC38"/>
  <c r="X38"/>
  <c r="AC37"/>
  <c r="X37"/>
  <c r="AC36"/>
  <c r="X36"/>
  <c r="AC35"/>
  <c r="X35"/>
  <c r="AC34"/>
  <c r="X34"/>
  <c r="AC33"/>
  <c r="X33"/>
  <c r="AC32"/>
  <c r="X32"/>
  <c r="AG31"/>
  <c r="AF31"/>
  <c r="AE31"/>
  <c r="AD31"/>
  <c r="AB31"/>
  <c r="AA31"/>
  <c r="Z31"/>
  <c r="Y31"/>
  <c r="AC30"/>
  <c r="X30"/>
  <c r="AC29"/>
  <c r="X29"/>
  <c r="AG28"/>
  <c r="AF28"/>
  <c r="AE28"/>
  <c r="AD28"/>
  <c r="AB28"/>
  <c r="AA28"/>
  <c r="Z28"/>
  <c r="Y28"/>
  <c r="AC26"/>
  <c r="X26"/>
  <c r="AC25"/>
  <c r="X25"/>
  <c r="AC24"/>
  <c r="X24"/>
  <c r="AC23"/>
  <c r="X23"/>
  <c r="AC22"/>
  <c r="X22"/>
  <c r="AC21"/>
  <c r="X21"/>
  <c r="AC20"/>
  <c r="X20"/>
  <c r="AC19"/>
  <c r="X19"/>
  <c r="AG18"/>
  <c r="AF18"/>
  <c r="AE18"/>
  <c r="AD18"/>
  <c r="AB18"/>
  <c r="AA18"/>
  <c r="Z18"/>
  <c r="Y18"/>
  <c r="W403"/>
  <c r="S403" s="1"/>
  <c r="N403"/>
  <c r="S397"/>
  <c r="N397"/>
  <c r="S396"/>
  <c r="N396"/>
  <c r="S395"/>
  <c r="N395"/>
  <c r="S393"/>
  <c r="N393"/>
  <c r="S392"/>
  <c r="N392"/>
  <c r="S391"/>
  <c r="N391"/>
  <c r="S390"/>
  <c r="N390"/>
  <c r="S388"/>
  <c r="N388"/>
  <c r="S387"/>
  <c r="N387"/>
  <c r="S386"/>
  <c r="N386"/>
  <c r="S385"/>
  <c r="N385"/>
  <c r="S384"/>
  <c r="N384"/>
  <c r="S378"/>
  <c r="N378"/>
  <c r="S377"/>
  <c r="N377"/>
  <c r="W376"/>
  <c r="V376"/>
  <c r="U376"/>
  <c r="T376"/>
  <c r="R376"/>
  <c r="Q376"/>
  <c r="P376"/>
  <c r="O376"/>
  <c r="S375"/>
  <c r="N375"/>
  <c r="S374"/>
  <c r="N374"/>
  <c r="W373"/>
  <c r="V373"/>
  <c r="U373"/>
  <c r="T373"/>
  <c r="R373"/>
  <c r="Q373"/>
  <c r="P373"/>
  <c r="O373"/>
  <c r="S372"/>
  <c r="P372"/>
  <c r="N372" s="1"/>
  <c r="S371"/>
  <c r="P371"/>
  <c r="S370"/>
  <c r="P370"/>
  <c r="N370" s="1"/>
  <c r="S369"/>
  <c r="P369"/>
  <c r="N369" s="1"/>
  <c r="S368"/>
  <c r="N368"/>
  <c r="S366"/>
  <c r="N366"/>
  <c r="S365"/>
  <c r="N365"/>
  <c r="S364"/>
  <c r="N364"/>
  <c r="N363" s="1"/>
  <c r="S362"/>
  <c r="N362"/>
  <c r="S361"/>
  <c r="N361"/>
  <c r="S360"/>
  <c r="N360"/>
  <c r="W359"/>
  <c r="V359"/>
  <c r="U359"/>
  <c r="T359"/>
  <c r="R359"/>
  <c r="Q359"/>
  <c r="P359"/>
  <c r="O359"/>
  <c r="S358"/>
  <c r="S357" s="1"/>
  <c r="N358"/>
  <c r="N357" s="1"/>
  <c r="W357"/>
  <c r="V357"/>
  <c r="U357"/>
  <c r="T357"/>
  <c r="R357"/>
  <c r="Q357"/>
  <c r="P357"/>
  <c r="O357"/>
  <c r="S356"/>
  <c r="N356"/>
  <c r="S355"/>
  <c r="N355"/>
  <c r="W354"/>
  <c r="V354"/>
  <c r="U354"/>
  <c r="T354"/>
  <c r="R354"/>
  <c r="Q354"/>
  <c r="P354"/>
  <c r="O354"/>
  <c r="S353"/>
  <c r="N353"/>
  <c r="S352"/>
  <c r="N352"/>
  <c r="S351"/>
  <c r="N351"/>
  <c r="S350"/>
  <c r="N350"/>
  <c r="S349"/>
  <c r="N349"/>
  <c r="S348"/>
  <c r="N348"/>
  <c r="S347"/>
  <c r="N347"/>
  <c r="S346"/>
  <c r="N346"/>
  <c r="S345"/>
  <c r="N345"/>
  <c r="W344"/>
  <c r="V344"/>
  <c r="U344"/>
  <c r="T344"/>
  <c r="R344"/>
  <c r="Q344"/>
  <c r="P344"/>
  <c r="O344"/>
  <c r="S343"/>
  <c r="N343"/>
  <c r="S342"/>
  <c r="N342"/>
  <c r="S341"/>
  <c r="N341"/>
  <c r="S340"/>
  <c r="N340"/>
  <c r="S339"/>
  <c r="N339"/>
  <c r="S338"/>
  <c r="N338"/>
  <c r="S337"/>
  <c r="N337"/>
  <c r="S336"/>
  <c r="N336"/>
  <c r="S335"/>
  <c r="N335"/>
  <c r="S334"/>
  <c r="N334"/>
  <c r="S333"/>
  <c r="N333"/>
  <c r="S332"/>
  <c r="N332"/>
  <c r="S331"/>
  <c r="N331"/>
  <c r="S330"/>
  <c r="N330"/>
  <c r="S329"/>
  <c r="N329"/>
  <c r="S328"/>
  <c r="N328"/>
  <c r="S323"/>
  <c r="N323"/>
  <c r="S322"/>
  <c r="N322"/>
  <c r="S321"/>
  <c r="N321"/>
  <c r="W320"/>
  <c r="V320"/>
  <c r="U320"/>
  <c r="T320"/>
  <c r="R320"/>
  <c r="Q320"/>
  <c r="P320"/>
  <c r="O320"/>
  <c r="S319"/>
  <c r="S318" s="1"/>
  <c r="N319"/>
  <c r="N318" s="1"/>
  <c r="W318"/>
  <c r="V318"/>
  <c r="U318"/>
  <c r="T318"/>
  <c r="R318"/>
  <c r="Q318"/>
  <c r="P318"/>
  <c r="O318"/>
  <c r="S309"/>
  <c r="N309"/>
  <c r="S308"/>
  <c r="N308"/>
  <c r="S307"/>
  <c r="N307"/>
  <c r="S306"/>
  <c r="N306"/>
  <c r="N299"/>
  <c r="N298"/>
  <c r="S297"/>
  <c r="S295" s="1"/>
  <c r="N297"/>
  <c r="W295"/>
  <c r="V295"/>
  <c r="U295"/>
  <c r="T295"/>
  <c r="R295"/>
  <c r="Q295"/>
  <c r="P295"/>
  <c r="O295"/>
  <c r="R292"/>
  <c r="N292" s="1"/>
  <c r="S291"/>
  <c r="S290" s="1"/>
  <c r="N291"/>
  <c r="W290"/>
  <c r="V290"/>
  <c r="U290"/>
  <c r="T290"/>
  <c r="Q290"/>
  <c r="P290"/>
  <c r="O290"/>
  <c r="S288"/>
  <c r="S287" s="1"/>
  <c r="N288"/>
  <c r="N287" s="1"/>
  <c r="W287"/>
  <c r="V287"/>
  <c r="U287"/>
  <c r="T287"/>
  <c r="R287"/>
  <c r="Q287"/>
  <c r="P287"/>
  <c r="O287"/>
  <c r="S283"/>
  <c r="N283"/>
  <c r="S282"/>
  <c r="N282"/>
  <c r="S281"/>
  <c r="N281"/>
  <c r="S280"/>
  <c r="N280"/>
  <c r="U278"/>
  <c r="S278" s="1"/>
  <c r="N278"/>
  <c r="S277"/>
  <c r="N277"/>
  <c r="S275"/>
  <c r="R275"/>
  <c r="N275" s="1"/>
  <c r="S274"/>
  <c r="R274"/>
  <c r="W273"/>
  <c r="V273"/>
  <c r="U273"/>
  <c r="T273"/>
  <c r="Q273"/>
  <c r="P273"/>
  <c r="O273"/>
  <c r="S272"/>
  <c r="N272"/>
  <c r="S271"/>
  <c r="N271"/>
  <c r="W270"/>
  <c r="V270"/>
  <c r="U270"/>
  <c r="T270"/>
  <c r="R270"/>
  <c r="Q270"/>
  <c r="P270"/>
  <c r="O270"/>
  <c r="S269"/>
  <c r="N269"/>
  <c r="S268"/>
  <c r="N268"/>
  <c r="S267"/>
  <c r="R267"/>
  <c r="N267" s="1"/>
  <c r="S266"/>
  <c r="N266"/>
  <c r="S265"/>
  <c r="N265"/>
  <c r="S264"/>
  <c r="R264"/>
  <c r="N264" s="1"/>
  <c r="S263"/>
  <c r="R263"/>
  <c r="N263" s="1"/>
  <c r="S262"/>
  <c r="R262"/>
  <c r="N262" s="1"/>
  <c r="S261"/>
  <c r="R261"/>
  <c r="N261" s="1"/>
  <c r="S260"/>
  <c r="R260"/>
  <c r="N260" s="1"/>
  <c r="W259"/>
  <c r="V259"/>
  <c r="U259"/>
  <c r="T259"/>
  <c r="Q259"/>
  <c r="P259"/>
  <c r="O259"/>
  <c r="N258"/>
  <c r="N257" s="1"/>
  <c r="W257"/>
  <c r="V257"/>
  <c r="U257"/>
  <c r="T257"/>
  <c r="S257"/>
  <c r="R257"/>
  <c r="Q257"/>
  <c r="P257"/>
  <c r="O257"/>
  <c r="S255"/>
  <c r="R255"/>
  <c r="N255" s="1"/>
  <c r="N254"/>
  <c r="S253"/>
  <c r="R253"/>
  <c r="N253" s="1"/>
  <c r="S252"/>
  <c r="R252"/>
  <c r="N252" s="1"/>
  <c r="P251"/>
  <c r="N251" s="1"/>
  <c r="S250"/>
  <c r="R250"/>
  <c r="N250" s="1"/>
  <c r="N249"/>
  <c r="S248"/>
  <c r="R248"/>
  <c r="N248" s="1"/>
  <c r="P247"/>
  <c r="N247" s="1"/>
  <c r="S246"/>
  <c r="R246"/>
  <c r="N246" s="1"/>
  <c r="S245"/>
  <c r="R245"/>
  <c r="N245" s="1"/>
  <c r="P244"/>
  <c r="S243"/>
  <c r="R243"/>
  <c r="N243" s="1"/>
  <c r="S242"/>
  <c r="R242"/>
  <c r="N242" s="1"/>
  <c r="N241"/>
  <c r="S240"/>
  <c r="R240"/>
  <c r="N240" s="1"/>
  <c r="S239"/>
  <c r="R239"/>
  <c r="P239"/>
  <c r="N238"/>
  <c r="S237"/>
  <c r="R237"/>
  <c r="N237" s="1"/>
  <c r="S236"/>
  <c r="R236"/>
  <c r="N236" s="1"/>
  <c r="P235"/>
  <c r="N235" s="1"/>
  <c r="S234"/>
  <c r="R234"/>
  <c r="N234" s="1"/>
  <c r="W233"/>
  <c r="V233"/>
  <c r="U233"/>
  <c r="T233"/>
  <c r="Q233"/>
  <c r="O233"/>
  <c r="S232"/>
  <c r="R232"/>
  <c r="N232" s="1"/>
  <c r="S231"/>
  <c r="N231"/>
  <c r="N230"/>
  <c r="S229"/>
  <c r="R229"/>
  <c r="N229" s="1"/>
  <c r="S228"/>
  <c r="R228"/>
  <c r="N228" s="1"/>
  <c r="S227"/>
  <c r="R227"/>
  <c r="N227" s="1"/>
  <c r="P226"/>
  <c r="N226" s="1"/>
  <c r="S225"/>
  <c r="R225"/>
  <c r="N225" s="1"/>
  <c r="S224"/>
  <c r="N224"/>
  <c r="N223"/>
  <c r="S222"/>
  <c r="R222"/>
  <c r="N222" s="1"/>
  <c r="S221"/>
  <c r="R221"/>
  <c r="N221" s="1"/>
  <c r="P220"/>
  <c r="N220" s="1"/>
  <c r="S219"/>
  <c r="R219"/>
  <c r="N219" s="1"/>
  <c r="S218"/>
  <c r="R218"/>
  <c r="N218" s="1"/>
  <c r="S217"/>
  <c r="R217"/>
  <c r="N217" s="1"/>
  <c r="P216"/>
  <c r="N216" s="1"/>
  <c r="S215"/>
  <c r="R215"/>
  <c r="N215" s="1"/>
  <c r="S214"/>
  <c r="R214"/>
  <c r="N214" s="1"/>
  <c r="S213"/>
  <c r="R213"/>
  <c r="N213" s="1"/>
  <c r="S212"/>
  <c r="R212"/>
  <c r="N212" s="1"/>
  <c r="S211"/>
  <c r="N211"/>
  <c r="S210"/>
  <c r="R210"/>
  <c r="N210" s="1"/>
  <c r="N209"/>
  <c r="S208"/>
  <c r="R208"/>
  <c r="N208" s="1"/>
  <c r="N207"/>
  <c r="S206"/>
  <c r="R206"/>
  <c r="P206"/>
  <c r="S205"/>
  <c r="R205"/>
  <c r="S204"/>
  <c r="R204"/>
  <c r="N204" s="1"/>
  <c r="S203"/>
  <c r="N203"/>
  <c r="S202"/>
  <c r="R202"/>
  <c r="N202" s="1"/>
  <c r="P201"/>
  <c r="N201" s="1"/>
  <c r="S200"/>
  <c r="R200"/>
  <c r="N200" s="1"/>
  <c r="S195"/>
  <c r="S194" s="1"/>
  <c r="N195"/>
  <c r="N194" s="1"/>
  <c r="W194"/>
  <c r="V194"/>
  <c r="U194"/>
  <c r="T194"/>
  <c r="R194"/>
  <c r="Q194"/>
  <c r="P194"/>
  <c r="O194"/>
  <c r="S193"/>
  <c r="N193"/>
  <c r="S192"/>
  <c r="N192"/>
  <c r="S191"/>
  <c r="R191"/>
  <c r="N191" s="1"/>
  <c r="S190"/>
  <c r="N190"/>
  <c r="S189"/>
  <c r="R189"/>
  <c r="N189" s="1"/>
  <c r="S187"/>
  <c r="S186" s="1"/>
  <c r="N187"/>
  <c r="N186" s="1"/>
  <c r="N185"/>
  <c r="S184"/>
  <c r="S183" s="1"/>
  <c r="N184"/>
  <c r="W183"/>
  <c r="V183"/>
  <c r="U183"/>
  <c r="T183"/>
  <c r="R183"/>
  <c r="Q183"/>
  <c r="P183"/>
  <c r="O183"/>
  <c r="S182"/>
  <c r="S181" s="1"/>
  <c r="N182"/>
  <c r="N181" s="1"/>
  <c r="W181"/>
  <c r="V181"/>
  <c r="U181"/>
  <c r="T181"/>
  <c r="R181"/>
  <c r="Q181"/>
  <c r="P181"/>
  <c r="O181"/>
  <c r="S180"/>
  <c r="S179" s="1"/>
  <c r="N180"/>
  <c r="N179" s="1"/>
  <c r="W179"/>
  <c r="V179"/>
  <c r="U179"/>
  <c r="T179"/>
  <c r="R179"/>
  <c r="Q179"/>
  <c r="P179"/>
  <c r="O179"/>
  <c r="N178"/>
  <c r="S177"/>
  <c r="N177"/>
  <c r="S176"/>
  <c r="R176"/>
  <c r="N176" s="1"/>
  <c r="S175"/>
  <c r="N175"/>
  <c r="U174"/>
  <c r="U166" s="1"/>
  <c r="P174"/>
  <c r="N174" s="1"/>
  <c r="S173"/>
  <c r="R173"/>
  <c r="N173" s="1"/>
  <c r="S172"/>
  <c r="R172"/>
  <c r="N172" s="1"/>
  <c r="S171"/>
  <c r="R171"/>
  <c r="N171" s="1"/>
  <c r="S170"/>
  <c r="N170"/>
  <c r="S169"/>
  <c r="N169"/>
  <c r="S168"/>
  <c r="N168"/>
  <c r="S167"/>
  <c r="N167"/>
  <c r="W166"/>
  <c r="V166"/>
  <c r="T166"/>
  <c r="Q166"/>
  <c r="O166"/>
  <c r="S163"/>
  <c r="S162" s="1"/>
  <c r="N163"/>
  <c r="N162" s="1"/>
  <c r="W162"/>
  <c r="V162"/>
  <c r="U162"/>
  <c r="T162"/>
  <c r="R162"/>
  <c r="Q162"/>
  <c r="P162"/>
  <c r="O162"/>
  <c r="S161"/>
  <c r="S159" s="1"/>
  <c r="R161"/>
  <c r="R159" s="1"/>
  <c r="W159"/>
  <c r="V159"/>
  <c r="U159"/>
  <c r="T159"/>
  <c r="Q159"/>
  <c r="P159"/>
  <c r="O159"/>
  <c r="S158"/>
  <c r="N158"/>
  <c r="S157"/>
  <c r="N157"/>
  <c r="W156"/>
  <c r="V156" s="1"/>
  <c r="U156" s="1"/>
  <c r="T156" s="1"/>
  <c r="S156" s="1"/>
  <c r="R156"/>
  <c r="Q156"/>
  <c r="P156"/>
  <c r="O156"/>
  <c r="S155"/>
  <c r="N155"/>
  <c r="S154"/>
  <c r="N154"/>
  <c r="W153"/>
  <c r="V153"/>
  <c r="U153"/>
  <c r="T153"/>
  <c r="R153"/>
  <c r="Q153"/>
  <c r="P153"/>
  <c r="O153"/>
  <c r="N152"/>
  <c r="S151"/>
  <c r="N151"/>
  <c r="S150"/>
  <c r="R150"/>
  <c r="N150" s="1"/>
  <c r="S149"/>
  <c r="R149"/>
  <c r="N149" s="1"/>
  <c r="S148"/>
  <c r="R148"/>
  <c r="N148" s="1"/>
  <c r="N147"/>
  <c r="N146"/>
  <c r="N145"/>
  <c r="S144"/>
  <c r="R144"/>
  <c r="S143"/>
  <c r="R143"/>
  <c r="N143" s="1"/>
  <c r="S142"/>
  <c r="R142"/>
  <c r="N142" s="1"/>
  <c r="S141"/>
  <c r="N141"/>
  <c r="S140"/>
  <c r="R140"/>
  <c r="N140" s="1"/>
  <c r="W139"/>
  <c r="V139"/>
  <c r="U139"/>
  <c r="T139"/>
  <c r="Q139"/>
  <c r="P139"/>
  <c r="O139"/>
  <c r="S138"/>
  <c r="N138"/>
  <c r="S137"/>
  <c r="N137"/>
  <c r="W136"/>
  <c r="S136" s="1"/>
  <c r="R136"/>
  <c r="N136" s="1"/>
  <c r="W135"/>
  <c r="S135" s="1"/>
  <c r="R135"/>
  <c r="N135" s="1"/>
  <c r="W134"/>
  <c r="S134" s="1"/>
  <c r="R134"/>
  <c r="N134" s="1"/>
  <c r="S133"/>
  <c r="N133"/>
  <c r="S132"/>
  <c r="N132"/>
  <c r="S131"/>
  <c r="R131"/>
  <c r="N131" s="1"/>
  <c r="S130"/>
  <c r="N130"/>
  <c r="S129"/>
  <c r="N129"/>
  <c r="S128"/>
  <c r="R128"/>
  <c r="N128" s="1"/>
  <c r="N127"/>
  <c r="S126"/>
  <c r="N126"/>
  <c r="S125"/>
  <c r="R125"/>
  <c r="N125" s="1"/>
  <c r="S124"/>
  <c r="N124"/>
  <c r="S123"/>
  <c r="R123"/>
  <c r="N123" s="1"/>
  <c r="S121"/>
  <c r="N121"/>
  <c r="S120"/>
  <c r="R120"/>
  <c r="N120" s="1"/>
  <c r="S119"/>
  <c r="R119"/>
  <c r="N119" s="1"/>
  <c r="S118"/>
  <c r="N118"/>
  <c r="S117"/>
  <c r="R117"/>
  <c r="N117" s="1"/>
  <c r="S116"/>
  <c r="N116"/>
  <c r="W115"/>
  <c r="V115"/>
  <c r="U115"/>
  <c r="T115"/>
  <c r="Q115"/>
  <c r="P115"/>
  <c r="O115"/>
  <c r="S114"/>
  <c r="N114"/>
  <c r="S113"/>
  <c r="R113"/>
  <c r="N113" s="1"/>
  <c r="S112"/>
  <c r="N112"/>
  <c r="S111"/>
  <c r="N111"/>
  <c r="S110"/>
  <c r="N110"/>
  <c r="S109"/>
  <c r="N109"/>
  <c r="S108"/>
  <c r="R108"/>
  <c r="N108" s="1"/>
  <c r="S105"/>
  <c r="R105"/>
  <c r="N105" s="1"/>
  <c r="S104"/>
  <c r="N104"/>
  <c r="S103"/>
  <c r="N103"/>
  <c r="S102"/>
  <c r="R102"/>
  <c r="N102" s="1"/>
  <c r="S101"/>
  <c r="N101"/>
  <c r="S100"/>
  <c r="N100"/>
  <c r="S99"/>
  <c r="R99"/>
  <c r="N99" s="1"/>
  <c r="S98"/>
  <c r="N98"/>
  <c r="W97"/>
  <c r="S97" s="1"/>
  <c r="R97"/>
  <c r="N97" s="1"/>
  <c r="S96"/>
  <c r="N96"/>
  <c r="W95"/>
  <c r="S95" s="1"/>
  <c r="R95"/>
  <c r="N95" s="1"/>
  <c r="S94"/>
  <c r="N94"/>
  <c r="S93"/>
  <c r="R93"/>
  <c r="N93" s="1"/>
  <c r="S92"/>
  <c r="R92"/>
  <c r="N92" s="1"/>
  <c r="N91"/>
  <c r="P90"/>
  <c r="P89" s="1"/>
  <c r="V89"/>
  <c r="U89"/>
  <c r="T89"/>
  <c r="Q89"/>
  <c r="O89"/>
  <c r="S88"/>
  <c r="R88"/>
  <c r="N88" s="1"/>
  <c r="W87"/>
  <c r="W69" s="1"/>
  <c r="R87"/>
  <c r="N87" s="1"/>
  <c r="S86"/>
  <c r="R86"/>
  <c r="N86" s="1"/>
  <c r="S85"/>
  <c r="R85"/>
  <c r="N85" s="1"/>
  <c r="S84"/>
  <c r="R84"/>
  <c r="N84" s="1"/>
  <c r="S83"/>
  <c r="R83"/>
  <c r="N83" s="1"/>
  <c r="S82"/>
  <c r="R82"/>
  <c r="N81"/>
  <c r="N80"/>
  <c r="S79"/>
  <c r="N79"/>
  <c r="S78"/>
  <c r="O78"/>
  <c r="O69" s="1"/>
  <c r="S77"/>
  <c r="N77"/>
  <c r="S76"/>
  <c r="N76"/>
  <c r="S75"/>
  <c r="N75"/>
  <c r="S74"/>
  <c r="N74"/>
  <c r="S73"/>
  <c r="N73"/>
  <c r="S72"/>
  <c r="N72"/>
  <c r="S71"/>
  <c r="N71"/>
  <c r="S70"/>
  <c r="N70"/>
  <c r="S68"/>
  <c r="R68"/>
  <c r="N68" s="1"/>
  <c r="W67"/>
  <c r="S67" s="1"/>
  <c r="R67"/>
  <c r="N67" s="1"/>
  <c r="S66"/>
  <c r="R66"/>
  <c r="N66" s="1"/>
  <c r="S65"/>
  <c r="R65"/>
  <c r="N65" s="1"/>
  <c r="S64"/>
  <c r="N64"/>
  <c r="S63"/>
  <c r="N63"/>
  <c r="S62"/>
  <c r="N62"/>
  <c r="S61"/>
  <c r="R61"/>
  <c r="N61" s="1"/>
  <c r="S60"/>
  <c r="N60"/>
  <c r="S59"/>
  <c r="R59"/>
  <c r="N59" s="1"/>
  <c r="S58"/>
  <c r="N58"/>
  <c r="W57"/>
  <c r="U57"/>
  <c r="U55" s="1"/>
  <c r="N57"/>
  <c r="S56"/>
  <c r="N56"/>
  <c r="S54"/>
  <c r="N54"/>
  <c r="S53"/>
  <c r="N53"/>
  <c r="N51"/>
  <c r="S50"/>
  <c r="N50"/>
  <c r="S49"/>
  <c r="N49"/>
  <c r="S47"/>
  <c r="N47"/>
  <c r="S46"/>
  <c r="N46"/>
  <c r="W45"/>
  <c r="V45"/>
  <c r="U45"/>
  <c r="T45"/>
  <c r="R45"/>
  <c r="Q45"/>
  <c r="P45"/>
  <c r="O45"/>
  <c r="S44"/>
  <c r="N44"/>
  <c r="S43"/>
  <c r="N43"/>
  <c r="S42"/>
  <c r="N42"/>
  <c r="S41"/>
  <c r="N41"/>
  <c r="S40"/>
  <c r="N40"/>
  <c r="S38"/>
  <c r="N38"/>
  <c r="S37"/>
  <c r="N37"/>
  <c r="S36"/>
  <c r="R36"/>
  <c r="N36" s="1"/>
  <c r="S35"/>
  <c r="R35"/>
  <c r="N35" s="1"/>
  <c r="S34"/>
  <c r="N34"/>
  <c r="S33"/>
  <c r="N33"/>
  <c r="S32"/>
  <c r="R32"/>
  <c r="N32" s="1"/>
  <c r="W31"/>
  <c r="V31"/>
  <c r="U31"/>
  <c r="T31"/>
  <c r="Q31"/>
  <c r="P31"/>
  <c r="O31"/>
  <c r="S30"/>
  <c r="N30"/>
  <c r="S29"/>
  <c r="R29"/>
  <c r="N29" s="1"/>
  <c r="W28"/>
  <c r="V28"/>
  <c r="U28"/>
  <c r="T28"/>
  <c r="Q28"/>
  <c r="P28"/>
  <c r="O28"/>
  <c r="N27"/>
  <c r="S26"/>
  <c r="N26"/>
  <c r="S25"/>
  <c r="N25"/>
  <c r="S24"/>
  <c r="N24"/>
  <c r="S23"/>
  <c r="R23"/>
  <c r="N23" s="1"/>
  <c r="S22"/>
  <c r="R22"/>
  <c r="N22" s="1"/>
  <c r="S21"/>
  <c r="N21"/>
  <c r="S20"/>
  <c r="N20"/>
  <c r="S19"/>
  <c r="R19"/>
  <c r="W18"/>
  <c r="V18"/>
  <c r="U18"/>
  <c r="T18"/>
  <c r="Q18"/>
  <c r="P18"/>
  <c r="O18"/>
  <c r="N327" l="1"/>
  <c r="P314"/>
  <c r="S327"/>
  <c r="S363"/>
  <c r="AC327"/>
  <c r="S305"/>
  <c r="S303" s="1"/>
  <c r="N305"/>
  <c r="N303" s="1"/>
  <c r="N107"/>
  <c r="N279"/>
  <c r="AC305"/>
  <c r="AC303" s="1"/>
  <c r="S279"/>
  <c r="AC279"/>
  <c r="S107"/>
  <c r="AC107"/>
  <c r="R107"/>
  <c r="AC55"/>
  <c r="N55"/>
  <c r="S394"/>
  <c r="AC39"/>
  <c r="X55"/>
  <c r="AG55"/>
  <c r="AB55"/>
  <c r="X39"/>
  <c r="X394"/>
  <c r="W55"/>
  <c r="R55"/>
  <c r="S39"/>
  <c r="S48"/>
  <c r="N39"/>
  <c r="N48"/>
  <c r="AB39"/>
  <c r="AC48"/>
  <c r="AG39"/>
  <c r="N389"/>
  <c r="N394"/>
  <c r="X48"/>
  <c r="AC394"/>
  <c r="X389"/>
  <c r="S389"/>
  <c r="AC389"/>
  <c r="AC383"/>
  <c r="S383"/>
  <c r="N383"/>
  <c r="X383"/>
  <c r="X303"/>
  <c r="AC199"/>
  <c r="AC276"/>
  <c r="S276"/>
  <c r="X199"/>
  <c r="X276"/>
  <c r="N276"/>
  <c r="U276"/>
  <c r="U197" s="1"/>
  <c r="S199"/>
  <c r="P199"/>
  <c r="R199"/>
  <c r="S188"/>
  <c r="AC188"/>
  <c r="N188"/>
  <c r="X122"/>
  <c r="X188"/>
  <c r="AC122"/>
  <c r="R188"/>
  <c r="R122"/>
  <c r="N122"/>
  <c r="S122"/>
  <c r="V285"/>
  <c r="V284" s="1"/>
  <c r="W122"/>
  <c r="AB122"/>
  <c r="S52"/>
  <c r="R69"/>
  <c r="AG122"/>
  <c r="X52"/>
  <c r="AC69"/>
  <c r="P381"/>
  <c r="X69"/>
  <c r="S270"/>
  <c r="AC52"/>
  <c r="AB69"/>
  <c r="AD314"/>
  <c r="AG69"/>
  <c r="N52"/>
  <c r="S28"/>
  <c r="U381"/>
  <c r="AC28"/>
  <c r="AF285"/>
  <c r="AF284" s="1"/>
  <c r="Q285"/>
  <c r="Q284" s="1"/>
  <c r="AC166"/>
  <c r="S87"/>
  <c r="S69" s="1"/>
  <c r="Y197"/>
  <c r="AE285"/>
  <c r="AE284" s="1"/>
  <c r="AC290"/>
  <c r="AG314"/>
  <c r="AC320"/>
  <c r="AB381"/>
  <c r="AG381"/>
  <c r="N183"/>
  <c r="T314"/>
  <c r="AC273"/>
  <c r="Q381"/>
  <c r="N320"/>
  <c r="N344"/>
  <c r="AF197"/>
  <c r="V381"/>
  <c r="W285"/>
  <c r="W284" s="1"/>
  <c r="O381"/>
  <c r="T381"/>
  <c r="R28"/>
  <c r="S45"/>
  <c r="N270"/>
  <c r="N45"/>
  <c r="U314"/>
  <c r="AC233"/>
  <c r="AG197"/>
  <c r="X290"/>
  <c r="X295"/>
  <c r="X344"/>
  <c r="X359"/>
  <c r="S320"/>
  <c r="S344"/>
  <c r="N376"/>
  <c r="X139"/>
  <c r="X233"/>
  <c r="Y381"/>
  <c r="Q314"/>
  <c r="R381"/>
  <c r="W381"/>
  <c r="AA285"/>
  <c r="AA284" s="1"/>
  <c r="S233"/>
  <c r="N239"/>
  <c r="R273"/>
  <c r="R290"/>
  <c r="R285" s="1"/>
  <c r="R284" s="1"/>
  <c r="O285"/>
  <c r="O284" s="1"/>
  <c r="S354"/>
  <c r="X31"/>
  <c r="AC153"/>
  <c r="AC259"/>
  <c r="AC270"/>
  <c r="AD197"/>
  <c r="X273"/>
  <c r="X320"/>
  <c r="AC354"/>
  <c r="X373"/>
  <c r="X376"/>
  <c r="AA381"/>
  <c r="AF381"/>
  <c r="AD381"/>
  <c r="N156"/>
  <c r="V197"/>
  <c r="S259"/>
  <c r="N354"/>
  <c r="S376"/>
  <c r="X18"/>
  <c r="X45"/>
  <c r="X270"/>
  <c r="Z314"/>
  <c r="AE314"/>
  <c r="X354"/>
  <c r="AC359"/>
  <c r="Z381"/>
  <c r="R233"/>
  <c r="Z197"/>
  <c r="Y285"/>
  <c r="Y284" s="1"/>
  <c r="AG285"/>
  <c r="AG284" s="1"/>
  <c r="AB285"/>
  <c r="AB284" s="1"/>
  <c r="Y314"/>
  <c r="N28"/>
  <c r="X166"/>
  <c r="S31"/>
  <c r="S57"/>
  <c r="S55" s="1"/>
  <c r="O197"/>
  <c r="N290"/>
  <c r="N295"/>
  <c r="AC31"/>
  <c r="AE197"/>
  <c r="R18"/>
  <c r="N90"/>
  <c r="N89" s="1"/>
  <c r="S139"/>
  <c r="S153"/>
  <c r="N206"/>
  <c r="P233"/>
  <c r="Q197"/>
  <c r="S273"/>
  <c r="P285"/>
  <c r="P284" s="1"/>
  <c r="U285"/>
  <c r="U284" s="1"/>
  <c r="O314"/>
  <c r="W314"/>
  <c r="S359"/>
  <c r="S373"/>
  <c r="AC89"/>
  <c r="AC115"/>
  <c r="AC139"/>
  <c r="X153"/>
  <c r="X259"/>
  <c r="AC295"/>
  <c r="AB314"/>
  <c r="AC373"/>
  <c r="AE381"/>
  <c r="S18"/>
  <c r="S115"/>
  <c r="R139"/>
  <c r="N153"/>
  <c r="P166"/>
  <c r="W197"/>
  <c r="T285"/>
  <c r="T284" s="1"/>
  <c r="R314"/>
  <c r="V314"/>
  <c r="N359"/>
  <c r="N373"/>
  <c r="AC18"/>
  <c r="X28"/>
  <c r="AC45"/>
  <c r="X115"/>
  <c r="Z285"/>
  <c r="Z284" s="1"/>
  <c r="AD285"/>
  <c r="AD284" s="1"/>
  <c r="AA314"/>
  <c r="AF314"/>
  <c r="AC344"/>
  <c r="AC376"/>
  <c r="AF14"/>
  <c r="X95"/>
  <c r="X89" s="1"/>
  <c r="AA197"/>
  <c r="AB197"/>
  <c r="N31"/>
  <c r="S89"/>
  <c r="N115"/>
  <c r="N166"/>
  <c r="N259"/>
  <c r="S285"/>
  <c r="N78"/>
  <c r="N144"/>
  <c r="N139" s="1"/>
  <c r="N205"/>
  <c r="R259"/>
  <c r="N371"/>
  <c r="R31"/>
  <c r="N82"/>
  <c r="R89"/>
  <c r="R115"/>
  <c r="R166"/>
  <c r="T197"/>
  <c r="N19"/>
  <c r="N18" s="1"/>
  <c r="W89"/>
  <c r="N161"/>
  <c r="N159" s="1"/>
  <c r="S174"/>
  <c r="S166" s="1"/>
  <c r="N244"/>
  <c r="N274"/>
  <c r="N273" s="1"/>
  <c r="N199" l="1"/>
  <c r="Q411"/>
  <c r="U411"/>
  <c r="S284"/>
  <c r="O411"/>
  <c r="P411"/>
  <c r="N69"/>
  <c r="X285"/>
  <c r="X284" s="1"/>
  <c r="Y411"/>
  <c r="P197"/>
  <c r="AD411"/>
  <c r="N381"/>
  <c r="AC285"/>
  <c r="AC284" s="1"/>
  <c r="T411"/>
  <c r="V411"/>
  <c r="AB411"/>
  <c r="W411"/>
  <c r="AG411"/>
  <c r="X381"/>
  <c r="AF411"/>
  <c r="S381"/>
  <c r="AA411"/>
  <c r="R411"/>
  <c r="X197"/>
  <c r="AB14"/>
  <c r="AB404" s="1"/>
  <c r="AE411"/>
  <c r="S314"/>
  <c r="N314"/>
  <c r="X314"/>
  <c r="N285"/>
  <c r="N284" s="1"/>
  <c r="N233"/>
  <c r="W14"/>
  <c r="W404" s="1"/>
  <c r="S197"/>
  <c r="AC314"/>
  <c r="R197"/>
  <c r="AC197"/>
  <c r="Z411"/>
  <c r="R14"/>
  <c r="Q14"/>
  <c r="Q404" s="1"/>
  <c r="AC381"/>
  <c r="AF405"/>
  <c r="AF404"/>
  <c r="AF13"/>
  <c r="AA14"/>
  <c r="AG14"/>
  <c r="P14"/>
  <c r="V14"/>
  <c r="N411" l="1"/>
  <c r="N412" s="1"/>
  <c r="AB405"/>
  <c r="AB13"/>
  <c r="R404"/>
  <c r="X411"/>
  <c r="X412" s="1"/>
  <c r="S411"/>
  <c r="S412" s="1"/>
  <c r="W13"/>
  <c r="R13"/>
  <c r="N197"/>
  <c r="W405"/>
  <c r="AC411"/>
  <c r="AC412" s="1"/>
  <c r="Q13"/>
  <c r="Q405"/>
  <c r="R405"/>
  <c r="AA405"/>
  <c r="AA404"/>
  <c r="AA13"/>
  <c r="AG405"/>
  <c r="AG404"/>
  <c r="AG13"/>
  <c r="Z14"/>
  <c r="AE14"/>
  <c r="V13"/>
  <c r="V404"/>
  <c r="V405"/>
  <c r="O14"/>
  <c r="N14"/>
  <c r="P13"/>
  <c r="P405"/>
  <c r="P404"/>
  <c r="U14"/>
  <c r="AD14" l="1"/>
  <c r="AD404" s="1"/>
  <c r="Y14"/>
  <c r="X14"/>
  <c r="AE404"/>
  <c r="AE405"/>
  <c r="AE13"/>
  <c r="Z404"/>
  <c r="Z13"/>
  <c r="Z405"/>
  <c r="AC14"/>
  <c r="T14"/>
  <c r="S14"/>
  <c r="N13"/>
  <c r="N404"/>
  <c r="N405"/>
  <c r="N415" s="1"/>
  <c r="U404"/>
  <c r="U405"/>
  <c r="U13"/>
  <c r="O405"/>
  <c r="O13"/>
  <c r="O404"/>
  <c r="AD13" l="1"/>
  <c r="AD405"/>
  <c r="X405"/>
  <c r="X415" s="1"/>
  <c r="X404"/>
  <c r="X13"/>
  <c r="AC404"/>
  <c r="AC13"/>
  <c r="AC405"/>
  <c r="AC415" s="1"/>
  <c r="Y405"/>
  <c r="Y404"/>
  <c r="Y13"/>
  <c r="T404"/>
  <c r="T405"/>
  <c r="T13"/>
  <c r="S405"/>
  <c r="S415" s="1"/>
  <c r="S13"/>
  <c r="S404"/>
</calcChain>
</file>

<file path=xl/sharedStrings.xml><?xml version="1.0" encoding="utf-8"?>
<sst xmlns="http://schemas.openxmlformats.org/spreadsheetml/2006/main" count="1574" uniqueCount="877">
  <si>
    <t>Финансовый орган субъекта Российской Федерации</t>
  </si>
  <si>
    <t>Единица измерения: тыс. руб. (с точностью до первого десятичного знака)</t>
  </si>
  <si>
    <t>Наименование полномочия, расходного обязательства</t>
  </si>
  <si>
    <t>Код строки</t>
  </si>
  <si>
    <t>Правовое основание финансового обеспечения полномочия, расходного обязательства муниципального образования</t>
  </si>
  <si>
    <t>Код группы полномочий, расходных обязательств</t>
  </si>
  <si>
    <t>Код бюджетной классификации РФ
раздел\подраздел</t>
  </si>
  <si>
    <t>Нормативно-правовые аты, договоры, соглашения Российской Федерации</t>
  </si>
  <si>
    <t>Нормативно-правовые акты, договоры, соглашения субъекта Российской Федерации</t>
  </si>
  <si>
    <t>Нормативно-правовые акты, договоры, соглашения муниципального образования</t>
  </si>
  <si>
    <t>наимено-вание, номер и дата</t>
  </si>
  <si>
    <t>номер статьи (подста-тьи), пункта (подпун-кта)</t>
  </si>
  <si>
    <t>дата вступле-ния в силу, срок действия</t>
  </si>
  <si>
    <t>номер статья (подстатья),пункта (подпункта)</t>
  </si>
  <si>
    <t>номер пункта (подпункта)</t>
  </si>
  <si>
    <t>2</t>
  </si>
  <si>
    <t>2. Расходные обязательства, возникшие в результате принятия нормативных правовых актов городского округа, заключения договоров (соглашений), всего
из них:</t>
  </si>
  <si>
    <t>х</t>
  </si>
  <si>
    <t>2.1.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вопросов местного значения городского округа, всего</t>
  </si>
  <si>
    <t>в том числе:</t>
  </si>
  <si>
    <t>2.1.1. составление и рассмотрение проекта бюджета городского округа, утверждение и исполнение бюджета городского округа, осуществление контроля за его исполнением, составление и утверждение отчета об исполнении бюджета городского округа</t>
  </si>
  <si>
    <t>2.1.2. установление, изменение и отмена местных налогов и сборов городского округа</t>
  </si>
  <si>
    <t>2.1.3. владение, пользование и распоряжение имуществом, находящимся в муниципальной собственности городского округа</t>
  </si>
  <si>
    <t xml:space="preserve">ст.16,17 ФЗ от 10.03.99 № 131-ФЗ "Об общих принципах организации местного самоуправления в РФ". </t>
  </si>
  <si>
    <t>ст.16,17</t>
  </si>
  <si>
    <t>01.01.2009, без срока</t>
  </si>
  <si>
    <t>Закон Красноярского края от 05.06.2008 № 5-1732 "О порядке безвозмездной передачи в муниципальную собственность имущества, находящегося в государственной собственности края, и безвозмездного приема имущества, находящегося в муниципальной собственности, в государственную собственность края"</t>
  </si>
  <si>
    <t>ст.в целом</t>
  </si>
  <si>
    <t>01.07.2008 - не установ</t>
  </si>
  <si>
    <t>Устав городского округа город Дивногорск Красноярского края</t>
  </si>
  <si>
    <t>24.12.1995 - не установлен</t>
  </si>
  <si>
    <t>0412
1010088030,244</t>
  </si>
  <si>
    <t>0412
0550087140,244</t>
  </si>
  <si>
    <t>0113
8210084080,244</t>
  </si>
  <si>
    <t>0113
8210084080,247</t>
  </si>
  <si>
    <t>0113
8210084070.244</t>
  </si>
  <si>
    <t>0113
8210084070,247</t>
  </si>
  <si>
    <t>Федеральный закон от 21.12.2001 № 178-ФЗ "О приватизации государственного и муниципального имущества"</t>
  </si>
  <si>
    <t xml:space="preserve">ст.3 </t>
  </si>
  <si>
    <t>28.04.2002 - не установ</t>
  </si>
  <si>
    <t>Закон Красноярского края от 26.05.2009 № 8-3290 "О порядке разграничения имущества между муниципальными образованиями края"</t>
  </si>
  <si>
    <t>20.06.2009 - не установ</t>
  </si>
  <si>
    <t>0412
10100S6910.244</t>
  </si>
  <si>
    <t>Федеральный закон от 21.07.2007 № 185-ФЗ "О Фонде содействия реформированию жилищно-коммунального хозяйства"</t>
  </si>
  <si>
    <t>ст.14</t>
  </si>
  <si>
    <t>07.08.2007 - не установ</t>
  </si>
  <si>
    <t>Постановление  администрации Красноярского  края от 06.04.2000 № 255-п "Об утверждении Положения по установлению ставок для проведения паспортизации и плановой технической инвентаризации жилых строений и жилых помещений"</t>
  </si>
  <si>
    <t>30.04.2000 - не установ</t>
  </si>
  <si>
    <t>01.01.2008 - не установ</t>
  </si>
  <si>
    <t>0113
1010088010,244</t>
  </si>
  <si>
    <t>2.1.4. организация в границах городского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</si>
  <si>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ст. в целом</t>
  </si>
  <si>
    <t>0503
0830084020,244</t>
  </si>
  <si>
    <t>0503
083008402Е,247</t>
  </si>
  <si>
    <t>2.1.6. дорожная деятельность в отношении автомобильных дорог местного значения в границах городского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городского округа,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</si>
  <si>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t>
  </si>
  <si>
    <t>ст. 13, 34
ст.6, пункт 9</t>
  </si>
  <si>
    <t>12.11.2007 - не установ</t>
  </si>
  <si>
    <t>Закон Красноярского края от 10.11.2011 № 13-6411 "О дорожном фонде Красноярского края"</t>
  </si>
  <si>
    <t>01.01.2012 - не установ</t>
  </si>
  <si>
    <r>
      <t xml:space="preserve">0409
</t>
    </r>
    <r>
      <rPr>
        <b/>
        <sz val="8"/>
        <rFont val="Times New Roman"/>
        <family val="1"/>
        <charset val="204"/>
      </rPr>
      <t>07100SD14</t>
    </r>
    <r>
      <rPr>
        <sz val="8"/>
        <rFont val="Times New Roman"/>
        <family val="1"/>
        <charset val="204"/>
      </rPr>
      <t>0,244</t>
    </r>
  </si>
  <si>
    <t>ст. 16.17</t>
  </si>
  <si>
    <t>01.01.2009.без срока</t>
  </si>
  <si>
    <r>
      <t xml:space="preserve">0409
</t>
    </r>
    <r>
      <rPr>
        <b/>
        <sz val="8"/>
        <rFont val="Times New Roman"/>
        <family val="1"/>
        <charset val="204"/>
      </rPr>
      <t>07100S150</t>
    </r>
    <r>
      <rPr>
        <sz val="8"/>
        <rFont val="Times New Roman"/>
        <family val="1"/>
        <charset val="204"/>
      </rPr>
      <t>.44</t>
    </r>
  </si>
  <si>
    <r>
      <t xml:space="preserve">0409
</t>
    </r>
    <r>
      <rPr>
        <b/>
        <sz val="8"/>
        <rFont val="Times New Roman"/>
        <family val="1"/>
        <charset val="204"/>
      </rPr>
      <t>07100SD160</t>
    </r>
    <r>
      <rPr>
        <sz val="8"/>
        <rFont val="Times New Roman"/>
        <family val="1"/>
        <charset val="204"/>
      </rPr>
      <t>,244</t>
    </r>
  </si>
  <si>
    <t>0409
0710085080,244</t>
  </si>
  <si>
    <t>0409
0710088070</t>
  </si>
  <si>
    <t>0409
0710088170,244</t>
  </si>
  <si>
    <t>0409
07100S6640.244</t>
  </si>
  <si>
    <t>2.1.7. обеспечение проживающих в городском округе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</si>
  <si>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Федеральный закон №185-ФЗ от 21.07.2007 «О Фонде  содействия реформированию жилищно-коммунального хозяйства» (далее Фонд); Постановление Правительства Российской Федерации от 30.12.2017 №1710 «Об утверждении государственной программы «Обеспечение доступным и комфортным жильем и коммунальными услугами граждан Российской Федерации»</t>
  </si>
  <si>
    <t>в целом</t>
  </si>
  <si>
    <r>
      <t>0501
053F367483/</t>
    </r>
    <r>
      <rPr>
        <b/>
        <sz val="8"/>
        <rFont val="Times New Roman"/>
        <family val="1"/>
        <charset val="204"/>
      </rPr>
      <t>053И267483</t>
    </r>
    <r>
      <rPr>
        <sz val="8"/>
        <rFont val="Times New Roman"/>
        <family val="1"/>
        <charset val="204"/>
      </rPr>
      <t>,410</t>
    </r>
  </si>
  <si>
    <r>
      <t>0501
053F367484</t>
    </r>
    <r>
      <rPr>
        <b/>
        <sz val="8"/>
        <rFont val="Times New Roman"/>
        <family val="1"/>
        <charset val="204"/>
      </rPr>
      <t>/053И267484</t>
    </r>
    <r>
      <rPr>
        <sz val="8"/>
        <rFont val="Times New Roman"/>
        <family val="1"/>
        <charset val="204"/>
      </rPr>
      <t>,410</t>
    </r>
  </si>
  <si>
    <r>
      <t>0501
0830084060,</t>
    </r>
    <r>
      <rPr>
        <b/>
        <sz val="8"/>
        <rFont val="Times New Roman"/>
        <family val="1"/>
        <charset val="204"/>
      </rPr>
      <t>244</t>
    </r>
  </si>
  <si>
    <t>0501
0810084070,244</t>
  </si>
  <si>
    <t>Федеральный закон от 06.10.2003 № 131-ФЗ "Об общих принципах организации местного самоуправления в Российской Федерации"</t>
  </si>
  <si>
    <t>ст.16; пункт 1, п/пункт 6</t>
  </si>
  <si>
    <t>01.01.2009 - не установ</t>
  </si>
  <si>
    <t>0502
8210084070,244</t>
  </si>
  <si>
    <t>0501
8210087650,412</t>
  </si>
  <si>
    <t>1003
05400L 4970,322</t>
  </si>
  <si>
    <t>2.1.10. создание условий для предоставления транспортных услуг населению и организация транспортного обслуживания населения в границах городского округа (в части автомобильного транспорта)</t>
  </si>
  <si>
    <t>ст. 7</t>
  </si>
  <si>
    <t>0408
0720088060,244</t>
  </si>
  <si>
    <t>0408
0720088060,811</t>
  </si>
  <si>
    <t>2.1.16. участие в предупреждении и ликвидации последствий чрезвычайных ситуаций в границах городского округа</t>
  </si>
  <si>
    <t>ст.11</t>
  </si>
  <si>
    <t>0111
8210088930,870</t>
  </si>
  <si>
    <t>Закон Красноярского края от 10.02.2000 № 9-631 "О защите населения и территории Красноярского края от чрезвычайных ситуаций природного и техногенного характера"</t>
  </si>
  <si>
    <t>ст.9, пункт 1, п/пункт "и"</t>
  </si>
  <si>
    <t>01.03.2000 - не установ</t>
  </si>
  <si>
    <t>Решение Дивногорского городского Совета депутатов от 13.11.2024 №52-314-нпа</t>
  </si>
  <si>
    <t>ст.38.43.52</t>
  </si>
  <si>
    <t>0111
8210089910,870</t>
  </si>
  <si>
    <t>Федеральный закон от 21.12.1994 № 68-ФЗ "О защите населения и территорий от чрезвычайных ситуаций природного и техногенного характера"</t>
  </si>
  <si>
    <t>ст.11, пункт 2</t>
  </si>
  <si>
    <t>24.12.1994 - не установ</t>
  </si>
  <si>
    <t>310
0820087070,244</t>
  </si>
  <si>
    <t>2.1.19. обеспечение первичных мер пожарной безопасности в границах городского округа</t>
  </si>
  <si>
    <t>Федеральный закон от 21.12.1994 № 69-ФЗ "О пожарной безопасности"</t>
  </si>
  <si>
    <t>ст.10;абз.3
ст.19
ст.31;абз.2</t>
  </si>
  <si>
    <t>05.01.1995 - не установ</t>
  </si>
  <si>
    <t>0310
0820089030,244</t>
  </si>
  <si>
    <t>0310
08200S4120,244</t>
  </si>
  <si>
    <t>2.1.21. организация предоставления общедоступного и бесплатного дошкольного образования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</si>
  <si>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ст.16, пункт 1, п/пункт 13</t>
  </si>
  <si>
    <t>06.10.2003 - не установ</t>
  </si>
  <si>
    <t>Закон Красноярского края от 26.06.2014 № 6-2519 "Об образовании в Красноярском крае"</t>
  </si>
  <si>
    <t>26.07.2014 - не установ</t>
  </si>
  <si>
    <t xml:space="preserve">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t>
  </si>
  <si>
    <t>В целом</t>
  </si>
  <si>
    <t>01.01.2016 - бессрочный</t>
  </si>
  <si>
    <r>
      <t xml:space="preserve">0701
</t>
    </r>
    <r>
      <rPr>
        <b/>
        <sz val="8"/>
        <rFont val="Times New Roman"/>
        <family val="1"/>
        <charset val="204"/>
      </rPr>
      <t>01100S5840</t>
    </r>
    <r>
      <rPr>
        <sz val="8"/>
        <rFont val="Times New Roman"/>
        <family val="1"/>
        <charset val="204"/>
      </rPr>
      <t>,612</t>
    </r>
  </si>
  <si>
    <t>0701
011Я153150.612</t>
  </si>
  <si>
    <t>0701
0110080610,611</t>
  </si>
  <si>
    <t>0701
0110080610,612</t>
  </si>
  <si>
    <t>0701
0110080610,621</t>
  </si>
  <si>
    <t>0701
0110080611,622</t>
  </si>
  <si>
    <t>0701
011008061Р,611</t>
  </si>
  <si>
    <t>0701
011008061Р,621</t>
  </si>
  <si>
    <t>0701
011008061Т,611</t>
  </si>
  <si>
    <t>0701
011008061Т,621</t>
  </si>
  <si>
    <t>0701
011008061Z,611</t>
  </si>
  <si>
    <t>0701
011008061Z,621</t>
  </si>
  <si>
    <t>0701
01100S5820,612</t>
  </si>
  <si>
    <t>2.1.22. 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городской местности</t>
  </si>
  <si>
    <t>Федеральный закон от 29.12.2012 № 273-ФЗ «Об образовании в Российской Федерации»</t>
  </si>
  <si>
    <t>статья 8</t>
  </si>
  <si>
    <t>01.09.2013 - бесрочный</t>
  </si>
  <si>
    <r>
      <t xml:space="preserve">1003
</t>
    </r>
    <r>
      <rPr>
        <b/>
        <sz val="8"/>
        <rFont val="Times New Roman"/>
        <family val="1"/>
        <charset val="204"/>
      </rPr>
      <t>01202S5830</t>
    </r>
    <r>
      <rPr>
        <sz val="8"/>
        <rFont val="Times New Roman"/>
        <family val="1"/>
        <charset val="204"/>
      </rPr>
      <t>,612</t>
    </r>
  </si>
  <si>
    <t>Постановление администрации города Дивногорска от 14.12.2016 № 246 п "Об утверждении Порядка обеспечения обучающихся в муниципальных общеобразовательных организациях по имеющим государственную аккредитацию основным общеобразовательным программам горячим завтраком и (или) горячим обедом без взимания платы»</t>
  </si>
  <si>
    <r>
      <t xml:space="preserve">1003
</t>
    </r>
    <r>
      <rPr>
        <b/>
        <sz val="8"/>
        <rFont val="Times New Roman"/>
        <family val="1"/>
        <charset val="204"/>
      </rPr>
      <t>01202S5830</t>
    </r>
    <r>
      <rPr>
        <sz val="8"/>
        <rFont val="Times New Roman"/>
        <family val="1"/>
        <charset val="204"/>
      </rPr>
      <t>,622</t>
    </r>
  </si>
  <si>
    <t>постановление Правительства Красноярского края от
19.09.2024 № 658-п «Об утверждении Методики распределения иных межбюджетных
трансфертов бюджетам муниципальных образований Красноярского края на выплату
ежемесячного денежного вознаграждения советникам директоров по воспитанию и
взаимодействию с детскими общественными объединениями в общеобразовательных
организациях, правил их предоставления»</t>
  </si>
  <si>
    <r>
      <t xml:space="preserve">0702
</t>
    </r>
    <r>
      <rPr>
        <b/>
        <sz val="8"/>
        <rFont val="Times New Roman"/>
        <family val="1"/>
        <charset val="204"/>
      </rPr>
      <t>01200Ю650500</t>
    </r>
    <r>
      <rPr>
        <sz val="8"/>
        <rFont val="Times New Roman"/>
        <family val="1"/>
        <charset val="204"/>
      </rPr>
      <t>,611</t>
    </r>
  </si>
  <si>
    <r>
      <t xml:space="preserve">0702
</t>
    </r>
    <r>
      <rPr>
        <b/>
        <sz val="8"/>
        <rFont val="Times New Roman"/>
        <family val="1"/>
        <charset val="204"/>
      </rPr>
      <t>012Ю650500</t>
    </r>
    <r>
      <rPr>
        <sz val="8"/>
        <rFont val="Times New Roman"/>
        <family val="1"/>
        <charset val="204"/>
      </rPr>
      <t>,621</t>
    </r>
  </si>
  <si>
    <t>0702
01200Ю653030.611</t>
  </si>
  <si>
    <r>
      <t xml:space="preserve">0702
</t>
    </r>
    <r>
      <rPr>
        <b/>
        <sz val="8"/>
        <rFont val="Times New Roman"/>
        <family val="1"/>
        <charset val="204"/>
      </rPr>
      <t>012Ю653030.621</t>
    </r>
  </si>
  <si>
    <r>
      <t xml:space="preserve">0702
</t>
    </r>
    <r>
      <rPr>
        <b/>
        <sz val="8"/>
        <rFont val="Times New Roman"/>
        <family val="1"/>
        <charset val="204"/>
      </rPr>
      <t>01200S5630</t>
    </r>
    <r>
      <rPr>
        <sz val="8"/>
        <rFont val="Times New Roman"/>
        <family val="1"/>
        <charset val="204"/>
      </rPr>
      <t>,612</t>
    </r>
  </si>
  <si>
    <r>
      <t>0702
01202L7502/</t>
    </r>
    <r>
      <rPr>
        <b/>
        <sz val="8"/>
        <rFont val="Times New Roman"/>
        <family val="1"/>
        <charset val="204"/>
      </rPr>
      <t>012Ю457502</t>
    </r>
    <r>
      <rPr>
        <sz val="8"/>
        <rFont val="Times New Roman"/>
        <family val="1"/>
        <charset val="204"/>
      </rPr>
      <t>,612</t>
    </r>
  </si>
  <si>
    <r>
      <t xml:space="preserve">0702
</t>
    </r>
    <r>
      <rPr>
        <b/>
        <sz val="8"/>
        <rFont val="Times New Roman"/>
        <family val="1"/>
        <charset val="204"/>
      </rPr>
      <t>012Ю651790,</t>
    </r>
    <r>
      <rPr>
        <sz val="8"/>
        <rFont val="Times New Roman"/>
        <family val="1"/>
        <charset val="204"/>
      </rPr>
      <t>611</t>
    </r>
  </si>
  <si>
    <t>Постановление Правительства Красноярского края от 30 января 2023 г. N 58-п
"Об утверждении Методики распределения иных межбюджетных трансфертов бюджетам муниципальных образований Красноярского края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правил их предоставления и их распределения на 2025 - 2027 годы"</t>
  </si>
  <si>
    <r>
      <t xml:space="preserve">0702
</t>
    </r>
    <r>
      <rPr>
        <b/>
        <sz val="8"/>
        <rFont val="Times New Roman"/>
        <family val="1"/>
        <charset val="204"/>
      </rPr>
      <t>012Ю651790</t>
    </r>
    <r>
      <rPr>
        <sz val="8"/>
        <rFont val="Times New Roman"/>
        <family val="1"/>
        <charset val="204"/>
      </rPr>
      <t>,621</t>
    </r>
  </si>
  <si>
    <t>0702
012Ю455590.612</t>
  </si>
  <si>
    <t>0702
012Ю455590.622</t>
  </si>
  <si>
    <t>0702
0120080610,611</t>
  </si>
  <si>
    <t>0702
0120080610,612</t>
  </si>
  <si>
    <t>0702
0120080610,621,622</t>
  </si>
  <si>
    <t>0702
012008061T,611,612</t>
  </si>
  <si>
    <t>0702
012008061T,621,622</t>
  </si>
  <si>
    <t>0702
012008061Z,611</t>
  </si>
  <si>
    <t>Постановление администрации г. Дивногорска от 16.05.2012 № 119п "Об утверждении Положения о системах оплаты труда работников муниципальных учреждений города Дивногорска"
  Постановление администрации г. Дивногорска от 30.09.2015 №152п «Система образования города Дивногорска» (в ред. пост. №142п от 24.07.2018);</t>
  </si>
  <si>
    <t>0702
012008061Z,621</t>
  </si>
  <si>
    <t>2.1.24.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</si>
  <si>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0703
01100S56800.624</t>
  </si>
  <si>
    <t>0703
0120080620,614</t>
  </si>
  <si>
    <t>Закон Красноярского края от 29.10.2009 № 9-3864 «О системах оплаты труда работников краевых государственных учреждений»</t>
  </si>
  <si>
    <t>статья 2, 3, 4</t>
  </si>
  <si>
    <t>16.11.2009 - бессрочный</t>
  </si>
  <si>
    <t>Постановление Правительства Красноярского края от 30 января 2023 г. N 58-п"Об утверждении Методики распределения иных межбюджетных трансфертов бюджетам муниципальных образований Красноярского края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правил их предоставления и их распределения на 2025 - 2027 годы"
"Об утверждении Методики распределения иных межбюджетных трансфертов бюджетам муниципальных образований Красноярского края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правил их предоставления и их распределения на 2025 - 2027 годы"</t>
  </si>
  <si>
    <t>0703
012008062T,614</t>
  </si>
  <si>
    <t>0703
012008062Z,611</t>
  </si>
  <si>
    <t>0703
012008062Z,614</t>
  </si>
  <si>
    <t>0703
0120080620,612</t>
  </si>
  <si>
    <t xml:space="preserve">Распоряжение Правительства Красноярского края от 18.09.2020 N 670-р &lt;О внедрении системы персонифицированного финансирования дополнительного образования детей в Красноярском крае&gt;, </t>
  </si>
  <si>
    <t>0703
012008065Е,614</t>
  </si>
  <si>
    <t>0703
012008065Е,615</t>
  </si>
  <si>
    <t>0703
012008065Е,625</t>
  </si>
  <si>
    <t>0703
012008065E,635</t>
  </si>
  <si>
    <t>0703
012008065Е,816</t>
  </si>
  <si>
    <t>Закон Красноярского края от 28.06.2007 № 2-190 «О культуре»</t>
  </si>
  <si>
    <t>статья10</t>
  </si>
  <si>
    <t xml:space="preserve"> 28.06.2007- бессрочный</t>
  </si>
  <si>
    <t>0703
033080620,611</t>
  </si>
  <si>
    <t>Постановление администрации города Дивногорска от 09.09.2022 № 156п "Об утверждении Порядка определения объема и условий Предоставления субсидий на иные цели из бюджета городского округа город Дивногорск"</t>
  </si>
  <si>
    <t>0703
033080620,612</t>
  </si>
  <si>
    <t>0703
033008062T,611</t>
  </si>
  <si>
    <t>0703
033008062Z,611</t>
  </si>
  <si>
    <t>2.1.25. 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</si>
  <si>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2.1.26.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</si>
  <si>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0709
0140080220,110</t>
  </si>
  <si>
    <t>0709
0140080220,244</t>
  </si>
  <si>
    <t>0709
0140080220,247</t>
  </si>
  <si>
    <t>0709
0140080220,350</t>
  </si>
  <si>
    <t>0709
0140080220,850</t>
  </si>
  <si>
    <t xml:space="preserve">Постановление администрации города
Дивногорска от 25.09.2013 № 187п  Об утверждении Положения об оплате труда работников
муниципального специализированного казенного 
учреждения по ведению бюджетного учета
«Межведомственная централизованная бухгалтерия»
 </t>
  </si>
  <si>
    <t xml:space="preserve"> от 25.09.2013</t>
  </si>
  <si>
    <t>2.1.29. организация библиотечного обслуживания населения, комплектование и обеспечение сохранности библиотечных фондов библиотек городского округа</t>
  </si>
  <si>
    <r>
      <t xml:space="preserve">0801
</t>
    </r>
    <r>
      <rPr>
        <b/>
        <sz val="8"/>
        <rFont val="Times New Roman"/>
        <family val="1"/>
        <charset val="204"/>
      </rPr>
      <t>03100S4880</t>
    </r>
    <r>
      <rPr>
        <sz val="8"/>
        <rFont val="Times New Roman"/>
        <family val="1"/>
        <charset val="204"/>
      </rPr>
      <t>,612</t>
    </r>
  </si>
  <si>
    <t>cт.16, пункт 1, п/пункт 16</t>
  </si>
  <si>
    <t>Закон Красноярского края от 17.05.1999 № 6-400 "О библиотечном деле в Красноярском крае"</t>
  </si>
  <si>
    <t>ст. 9</t>
  </si>
  <si>
    <t>27.06.1999 - не установ</t>
  </si>
  <si>
    <t>Постановление Правительства РФ от 26.06.1995 № 609 "Об утверждении Положения об основах хозяйственной деятельности и финансирования организаций культуры и искусства"</t>
  </si>
  <si>
    <t>21.07.1995 - не установ</t>
  </si>
  <si>
    <t>0801
0310080640,611</t>
  </si>
  <si>
    <t>0801
0310080640,612</t>
  </si>
  <si>
    <t>0801
031008064T,611</t>
  </si>
  <si>
    <t>Постановление администрации города Дивногорска от 18.05.2012 № 122п "Об утверждении Примерного положенияоб оплатетруда
работников муниципальныхучреждений в сфере культуры"</t>
  </si>
  <si>
    <t>0801
031008064Z,611</t>
  </si>
  <si>
    <t>0801
03100L5190,612</t>
  </si>
  <si>
    <t>Федеральный закон от 29.12.1994 № 78-ФЗ "О библиотечном деле"</t>
  </si>
  <si>
    <t xml:space="preserve">ст.10 </t>
  </si>
  <si>
    <t>02.01.1995 - не установ</t>
  </si>
  <si>
    <t>2.1.30. создание условий для организации досуга и обеспечения жителей городского округа услугами организаций культуры</t>
  </si>
  <si>
    <t>ст.16, пункт 1, п/пункт 17</t>
  </si>
  <si>
    <t>Закон Красноярского края от 28.06.2007 № 2-190 "О культуре"</t>
  </si>
  <si>
    <t>ст. 22</t>
  </si>
  <si>
    <t>31.07.2007 - не установ</t>
  </si>
  <si>
    <t xml:space="preserve">Закон РФ от 09.10.1992 № 3612-1 "Основы законодательства Российской Федерации о культуре" </t>
  </si>
  <si>
    <t>ст. 40</t>
  </si>
  <si>
    <t>17.11.1992 - не установ</t>
  </si>
  <si>
    <t>Федеральный закон от 25.06.2002 № 73-ФЗ «Об объектах культурного наследия (памятниках истории и культуры) народов Российской Федерации»</t>
  </si>
  <si>
    <t>Закон Красноярского края от 23.04.2009 № 8-3166 «Об объектах культурного наследия (памятниках истории и культуры) народов Российской Федерации, расположенных на территории Красноярского края»</t>
  </si>
  <si>
    <t>0801
0310080630,611</t>
  </si>
  <si>
    <t>0801
031008063Т,611</t>
  </si>
  <si>
    <t>0801
031008063Z,611</t>
  </si>
  <si>
    <t>0801
031Я555902.612</t>
  </si>
  <si>
    <t>Соглашение о предоставлении субсидии местному бюджету из краевого бюджета от 14.05.2025 № 175</t>
  </si>
  <si>
    <t>0801
03200S4820.612</t>
  </si>
  <si>
    <t>0801
0320080610,611</t>
  </si>
  <si>
    <t>0801
0320080610,612</t>
  </si>
  <si>
    <t>0801
032008061Т,611</t>
  </si>
  <si>
    <t>0801
032008061Z,611</t>
  </si>
  <si>
    <t>0801
0370088960.611</t>
  </si>
  <si>
    <t>0801
032Я553495.612</t>
  </si>
  <si>
    <t>Постановление администрации г. Дивногорска от 18.05.2012 № 122п «Об утверждении Примерного положения об оплате труда работников муниципальных учреждений в сфере культуры"</t>
  </si>
  <si>
    <t>0804
0340080220,110</t>
  </si>
  <si>
    <t>0804
0340080220,244</t>
  </si>
  <si>
    <t>0804
0340080220,247</t>
  </si>
  <si>
    <t>0804
0340080220,321</t>
  </si>
  <si>
    <t>0804
0340080220,850</t>
  </si>
  <si>
    <t>2.1.33.обеспечение условий для развития на территории городского округа физической культуры, школьного спорта и массового спорта</t>
  </si>
  <si>
    <t>Федеральный закон от 06.10.2003 № 131-ФЗ «Об общих принципах организации местного самоуправления в Российской Федерации»</t>
  </si>
  <si>
    <t>статья 16, пункт 1, п\пункт 19</t>
  </si>
  <si>
    <t>06.10.2003 -не установлен</t>
  </si>
  <si>
    <t>статья 5</t>
  </si>
  <si>
    <t xml:space="preserve">1103
0410080620,611
</t>
  </si>
  <si>
    <t>Постановление Правительства Красноярского края от 26.11.2021 № 829-п " Об утверждении Методики распределения иных межбюджетных трансфертов из краевого бюджета бюджетам муниципальных образований Красноярского края на устройство плоскостных спортивных сооружений в сельской местности и правил их предоставления"</t>
  </si>
  <si>
    <t xml:space="preserve">1103
0410080620,612
</t>
  </si>
  <si>
    <t>Соглашение о предоставлении из бюджета городского округа муниципальному бюджетному учреждению субсидии 3 ИЦ от 31.03.2025</t>
  </si>
  <si>
    <t>Постановление администрации г. Дивногорска от 23.12.2022 № 224п "Об утверждении примерного Положения об оплате труда работников муниципальных бюджетных учреждений, подведомственных отделуфизической культуры, спорта и молодежной полититки  администрации города Дивногорска"
 Постановление администрации г. Дивногорска от 16.05.2012 № 119п "Об утверждении Положения о системах оплаты труда работников муниципальных учреждений города Дивногорска"</t>
  </si>
  <si>
    <t>1101
041008061Z,621</t>
  </si>
  <si>
    <t>1103
041008062T,611,612</t>
  </si>
  <si>
    <t>1103
041008062Z,611</t>
  </si>
  <si>
    <t>1101
0410080610.622</t>
  </si>
  <si>
    <t>Постановление Правительства Красноярского края от 26.03.2025 № 244-п "Об утверждении распределения субсидии бюджетам муниципальных образований Красноярского края на модернизацию и укрепление МБТ муниципальных физкультурно-спортивных организаций, осуществляющих деятельность в области физической культуры и спорта в 2025 году</t>
  </si>
  <si>
    <t>1103
04100S4370,612</t>
  </si>
  <si>
    <t>1103
04100S6501,612</t>
  </si>
  <si>
    <t>1102
041008062Z,611</t>
  </si>
  <si>
    <t>1102
041008062,611</t>
  </si>
  <si>
    <t>1102
041008062T,611</t>
  </si>
  <si>
    <t>1103
04100S8480,612</t>
  </si>
  <si>
    <t>1103
04100S4180.612</t>
  </si>
  <si>
    <t>2.1.34. организация проведения официальных физкультурно-оздоровительных и спортивных мероприятий городского округа</t>
  </si>
  <si>
    <t>статья 16</t>
  </si>
  <si>
    <t>06.10.2003 - бессрочный</t>
  </si>
  <si>
    <t xml:space="preserve">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t>
  </si>
  <si>
    <t>1102
0410080520,621</t>
  </si>
  <si>
    <t>Федеральный закон от 04.12.2007 № 329-ФЗ "О физической культуре и спорте в Российской Федерации"</t>
  </si>
  <si>
    <t>30.03.2008 - не установ</t>
  </si>
  <si>
    <t>1102
0410080520,611</t>
  </si>
  <si>
    <t>2.1.35. создание условий для массового отдыха жителей городского округа и организация обустройства мест массового отдыха населения</t>
  </si>
  <si>
    <t>0909
0810075550,244</t>
  </si>
  <si>
    <t>0909
08100S5550,244</t>
  </si>
  <si>
    <t>2.1.37. организация ритуальных услуг и содержание мест захоронения</t>
  </si>
  <si>
    <t xml:space="preserve">Федеральный закон от 12.01.1996 № 8-ФЗ "О погребении и похоронном деле"  </t>
  </si>
  <si>
    <t>ст.9, пункт 3</t>
  </si>
  <si>
    <t>15.01.1996 - не установ</t>
  </si>
  <si>
    <t>Закон Красноярского края от 24.04.1997 № 13-487 "О семейных (родовых) захоронениях на территории Красноярского края"</t>
  </si>
  <si>
    <t>18.05.1997 - не установ</t>
  </si>
  <si>
    <t>ст.16, пункт 1, п/пункт 23</t>
  </si>
  <si>
    <t>0503
0810084030,244</t>
  </si>
  <si>
    <t>2.1.38. 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t>
  </si>
  <si>
    <t>ст.16, пункт 1, п/пункт 24</t>
  </si>
  <si>
    <t>Закон Красноярского края от 20.09.2013 № 5-1597 "Об экологической безопасности и охране окружающей среды в Красноярском крае"</t>
  </si>
  <si>
    <t>13.10.2013 - не установ</t>
  </si>
  <si>
    <t>0503
0810084040,244</t>
  </si>
  <si>
    <t>Федеральный закон от 24.06.1998 № 89-ФЗ "Об отходах производства и потребления"</t>
  </si>
  <si>
    <t>ст.8, пункт 1</t>
  </si>
  <si>
    <t>30.06.1998 - не установ</t>
  </si>
  <si>
    <t>2.1.39. утверждение правил благоустройства территории городского округа, осуществление контроля за их соблюдением</t>
  </si>
  <si>
    <t>2.1.40. организация благоустройства территории городского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</si>
  <si>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0503
0810084170,244</t>
  </si>
  <si>
    <t>0503
0810086860,244</t>
  </si>
  <si>
    <t>0503
0810089170,244</t>
  </si>
  <si>
    <r>
      <t xml:space="preserve">0503
</t>
    </r>
    <r>
      <rPr>
        <b/>
        <sz val="8"/>
        <rFont val="Times New Roman"/>
        <family val="1"/>
        <charset val="204"/>
      </rPr>
      <t>111И45555</t>
    </r>
    <r>
      <rPr>
        <sz val="8"/>
        <rFont val="Times New Roman"/>
        <family val="1"/>
        <charset val="204"/>
      </rPr>
      <t>0.244</t>
    </r>
  </si>
  <si>
    <t>0503
1110085570,244</t>
  </si>
  <si>
    <t>0503
0810087040,244</t>
  </si>
  <si>
    <t>инициативное бюджетирование</t>
  </si>
  <si>
    <t>0503
0810088990,244</t>
  </si>
  <si>
    <t>2.1.43. утверждение генеральных планов городского округа, правил землепользования и застройки, утверждение подготовленной на основе генеральных планов городского округа документации по планировке территории,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городского округа, утверждение местных нормативов градостроительного проектирования городского округа, ведение информационной системы обеспечения градостроительной деятельности, осуществляемой на территории городского округа, резервирование земель и изъятие земельных участков в границах городского округа для муниципальных нужд, осуществление муниципального земельного контроля в границах городского округа,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t>
  </si>
  <si>
    <t>ст.16, пункт 1, п/пункт 26</t>
  </si>
  <si>
    <t>Закон Красноярского края от 04.12.2008 № 7-2542 "О регулировании земельных отношений в Красноярском крае"</t>
  </si>
  <si>
    <t>ст.7</t>
  </si>
  <si>
    <t>04.01.2009 - не установ</t>
  </si>
  <si>
    <t>0412
0510084660.244</t>
  </si>
  <si>
    <t>2.1.52. содействие развитию малого и среднего предпринимательства</t>
  </si>
  <si>
    <t>Федеральный закон от 24.07.2007 № 209-ФЗ "О развитии малого и среднего предпринимательства в Российской Федерации"</t>
  </si>
  <si>
    <t>ст. 11</t>
  </si>
  <si>
    <t>Постановление Правительства Красноярского края от 30/09/2013 №505"Об утверждении государственной  программы ККр"Развитие инвестиционной деятельности, малого и среднего предпринимательства"</t>
  </si>
  <si>
    <t>0412
06200S6610,811</t>
  </si>
  <si>
    <t>2.1.54. организация и осуществление мероприятий по работе с детьми и молодежью в городском округе</t>
  </si>
  <si>
    <t xml:space="preserve">Постановление Правительства Красноярского края от 30.09.2015 N 495-п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t>
  </si>
  <si>
    <t>Закон Красноярского края от 08.12.2006 № 20-5445 "О государственной молодежной политике Красноярского края"</t>
  </si>
  <si>
    <t>ст. 8</t>
  </si>
  <si>
    <t>06.01.2008 - не установ</t>
  </si>
  <si>
    <t>0707
0420080610,621/622</t>
  </si>
  <si>
    <t>0707
042008061T,621</t>
  </si>
  <si>
    <t>0707
042008061Z,621</t>
  </si>
  <si>
    <t>0707
04200S4540,622</t>
  </si>
  <si>
    <t>0707
04200S4560,622</t>
  </si>
  <si>
    <t xml:space="preserve">2.1.56. ДНД-оказание поддержки  гражданам и их объединениям, участвующим в охране общественного порядка, создание условий для деятельности нардных дружин - </t>
  </si>
  <si>
    <t>ст.16, пункт 1, п/пункт 37</t>
  </si>
  <si>
    <t>0314
8210086120,123</t>
  </si>
  <si>
    <t>2.2.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полномочий органов местного самоуправления городского округа по решению вопросов местного значения городского округа, всего</t>
  </si>
  <si>
    <t>2.2.1.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</si>
  <si>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Закон Красноярского края от 24.04.2008 № 5-1565 "Об особенностях правового регулирования муниципальной службы в Красноярском крае"</t>
  </si>
  <si>
    <t>0103
8110080210,120</t>
  </si>
  <si>
    <t>0103
811008021А,129</t>
  </si>
  <si>
    <t>0103
8110080210,244</t>
  </si>
  <si>
    <t>0103
8110080210,852</t>
  </si>
  <si>
    <t>0103
8110080230,129</t>
  </si>
  <si>
    <t>0103
8110080910,129</t>
  </si>
  <si>
    <t>Федеральный закон от 02.03.2007 № 25-ФЗ "О муниципальной службе в Российской Федерации"</t>
  </si>
  <si>
    <t>01.06.2007 - не установ</t>
  </si>
  <si>
    <t>Постановление Совета администрации Кр.Кр  №512 П"О нормативах формирования расходов на оплату труда"</t>
  </si>
  <si>
    <t>Решение Дивногорского городского Совета депутатов от 18.06.2015 №55-341-ГС "Об утверждении Положения об оплате труда депутатов, выборных должностных лиц, осуществляющих свои полномочия на постоянной основе, и муниципальных служащих в муниципальном образовании г.Дивногорск"</t>
  </si>
  <si>
    <t>Ст.2 гл.2, п.2 ст.54 гл.7 Решения</t>
  </si>
  <si>
    <t>21.04.2016г;       01.01.2016г</t>
  </si>
  <si>
    <t>0102
8210080230,129,122</t>
  </si>
  <si>
    <t>0104
8210080210,122,129</t>
  </si>
  <si>
    <t>0104
821008021А,129</t>
  </si>
  <si>
    <t>0104
8210080210,244</t>
  </si>
  <si>
    <t>0104
8210080210,247</t>
  </si>
  <si>
    <t>0104
8210080210,830</t>
  </si>
  <si>
    <t>0104
8210080210,850</t>
  </si>
  <si>
    <t>0104
8210080910,129</t>
  </si>
  <si>
    <t>0804
0340080210,244</t>
  </si>
  <si>
    <t>0804
034008021А,129</t>
  </si>
  <si>
    <t>0804
0340080210,122.129</t>
  </si>
  <si>
    <t>0804
0340080910,120</t>
  </si>
  <si>
    <t>1105
0440080210.129</t>
  </si>
  <si>
    <t>1105
044008021А.129</t>
  </si>
  <si>
    <t>1105
0440080210,244</t>
  </si>
  <si>
    <t>0106
8410080210.129</t>
  </si>
  <si>
    <t>0106
841008021А.129</t>
  </si>
  <si>
    <t>Решение Дивногорского городского Совета депутатов от 24.11.2021 №16-100-ГС</t>
  </si>
  <si>
    <t>0106
8410080210,244</t>
  </si>
  <si>
    <t>0709
0140080210.129</t>
  </si>
  <si>
    <t>0709
014008021А.129</t>
  </si>
  <si>
    <t>0709
0140080210,244</t>
  </si>
  <si>
    <t>0709
0140080910.129</t>
  </si>
  <si>
    <t>0106
094008021,129</t>
  </si>
  <si>
    <t>0106
09400802А,129</t>
  </si>
  <si>
    <t>0106
0940080210,244</t>
  </si>
  <si>
    <t>0106
0940080910,129</t>
  </si>
  <si>
    <t>2.2.2.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</si>
  <si>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0103
811008021.121</t>
  </si>
  <si>
    <t>0103
811008021А.121</t>
  </si>
  <si>
    <t>0103
8110080230,121</t>
  </si>
  <si>
    <t>0103
8110080910.121</t>
  </si>
  <si>
    <t>0102
8210080230.121</t>
  </si>
  <si>
    <t>0104
8210080210</t>
  </si>
  <si>
    <t>0104
821008021А.121</t>
  </si>
  <si>
    <t>0104
8210080910</t>
  </si>
  <si>
    <t>0804
0340080210.121</t>
  </si>
  <si>
    <t>0804
034008021А.121</t>
  </si>
  <si>
    <t>0804
0340080910</t>
  </si>
  <si>
    <t>1105
0440080210.121</t>
  </si>
  <si>
    <t>1105
044008021А.121</t>
  </si>
  <si>
    <t>0106
8410080210.121</t>
  </si>
  <si>
    <t>0106
841008021А.121</t>
  </si>
  <si>
    <t>0709
0140080210.121</t>
  </si>
  <si>
    <t>0709
014008021А.121</t>
  </si>
  <si>
    <t>0709
0140080910.121</t>
  </si>
  <si>
    <t xml:space="preserve">Постановление администрации г. Дивногорска от 29.09.2019 № 167п Об утверждении Примерного положения об оплате труда работников муниципальных учреждений в области образования </t>
  </si>
  <si>
    <t>0106
0940080210,121</t>
  </si>
  <si>
    <t>0106
094008021А,121</t>
  </si>
  <si>
    <t>0106
0940080910</t>
  </si>
  <si>
    <r>
      <rPr>
        <b/>
        <sz val="8"/>
        <rFont val="Times New Roman"/>
        <family val="1"/>
        <charset val="204"/>
      </rPr>
      <t>2.2.3.</t>
    </r>
    <r>
      <rPr>
        <sz val="8"/>
        <rFont val="Times New Roman"/>
        <family val="1"/>
        <charset val="204"/>
      </rPr>
      <t xml:space="preserve"> обслуживание муниципального долга без учета обслуживания долговых обязательств в части процентов, пеней и штрафных санкций по полученным бюджетным кредитам</t>
    </r>
  </si>
  <si>
    <t>2.2.4. обслуживание долговых обязательств в части процентов, пеней и штрафных санкций по полученным бюджетным кредитам</t>
  </si>
  <si>
    <t>ст16, пункт 1, п/пункт 1</t>
  </si>
  <si>
    <t>1301
8210088940,730</t>
  </si>
  <si>
    <t>2.2.8. 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 ГХ, АПБ )</t>
  </si>
  <si>
    <t>0310
0840080220,110</t>
  </si>
  <si>
    <t>0310
0840080220,244</t>
  </si>
  <si>
    <t>0505
0840080220,110</t>
  </si>
  <si>
    <t>0505
0840080220,244</t>
  </si>
  <si>
    <t>0505
0840080220,831</t>
  </si>
  <si>
    <t>0505
0840080220,850</t>
  </si>
  <si>
    <t>0505
0840087880.244</t>
  </si>
  <si>
    <t>0113
8310080220,110</t>
  </si>
  <si>
    <t>0113
8310080220,853</t>
  </si>
  <si>
    <t>0113
8310080220,244</t>
  </si>
  <si>
    <t>2.2.13. организационное и материально-техническое обеспечение подготовки и проведения муниципальных выборов, местного референдума, голосования по отзыву депутата, члена выборного органа местного самоуправления, выборного должностного лица местного самоуправления, голосования по вопросам изменения границ муниципального образования, преобразования муниципального образования</t>
  </si>
  <si>
    <t>ст.17,  пункт 1, п/пункт 5</t>
  </si>
  <si>
    <t>Закон Красноярского края от 02.10.2003 № 8-1411  "О выборах в органы местного самоуправления в Красноярском крае"</t>
  </si>
  <si>
    <t>ст.5, пункт 1
ст.43, пункт 1</t>
  </si>
  <si>
    <t>08.11.2003 - не установ</t>
  </si>
  <si>
    <t>0107
8210081110,880</t>
  </si>
  <si>
    <t>Федеральный закон от 12.06.2002 № 67-ФЗ "Об основных гарантиях избирательных прав и права на участие в референдуме граждан Российской Федерации"</t>
  </si>
  <si>
    <t>ст.57, пункт 1</t>
  </si>
  <si>
    <t>26.06.2002 - не установ</t>
  </si>
  <si>
    <t>0113
8210081120,244</t>
  </si>
  <si>
    <t>2.2.23.  Предоставление доплаты за выслугу лет к трудовой пенсии муниципальным служащим за счет средств местного бюджета</t>
  </si>
  <si>
    <t xml:space="preserve">Закон Красноярского края от 24.04.2008 N 5-1565 (ред. от 03.10.2019) "Об особенностях правового регулирования муниципальной службы в Красноярском крае", Закон Красноярского края от 26.06.2008 N 6-1832 (ред. от 29.06.2017) "О гарантиях осуществления полномочий депутата, члена выборного органа местного самоуправления, выборного должностного лица местного самоуправления в Красноярском крае" (подписан Губернатором Красноярского края 08.07.2008), </t>
  </si>
  <si>
    <t>01.07.2008 - бессрочный, 01.08.2008-бессрочный</t>
  </si>
  <si>
    <t>Решение Дивногорского городского Совета депутатов от 28.01.2020г. № 51-325-ГС «Об утверждении Положения об условиях и порядке предоставления муниципальному служащему права на пенсию за выслугу лет за счет средств бюджета города Дивногорска», решением Дивногорского городского Совета депутатов от 18.06.2015 № 55-341-ГС «Об утверждении Положения об оплате труда депутатов, выборных должностных лиц, осуществляющих свои полномочия на постоянной основе, и муниципальных служащих в муниципальном образовании г. Дивногорск» (в вред. от 24.09.2019г. № 45-289-ГС)</t>
  </si>
  <si>
    <t>1001
0630088080,312</t>
  </si>
  <si>
    <t>1001
0630088080,244</t>
  </si>
  <si>
    <t>2.2.24. Горячее питание</t>
  </si>
  <si>
    <t>Федеральный закон от 21.12.2021 г. № 414-ФЗ "Об общих принципах организации публичной власти субъектов Российской Федерации"</t>
  </si>
  <si>
    <t>ст.44, п.50</t>
  </si>
  <si>
    <t>21.12.2021 - не установ</t>
  </si>
  <si>
    <t>Постановление Правительства Красноярского края от 18.09.2020 №628-п "Об утверждении Порядка предоставления и распределения субсидий бюджетам муниципальных образований края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за исключением обучающихся с ограниченными возможностями здоровья, бесплатным горячим питанием, предусматривающим наличие горячего блюда, не считая горячего напитка".</t>
  </si>
  <si>
    <t>21.09.2020 - не установ</t>
  </si>
  <si>
    <t>1003
01200L3040,612</t>
  </si>
  <si>
    <t>1003
01200L3040,622</t>
  </si>
  <si>
    <t>2,2,25.Полномочия в рамках реализации мероприятий, связанных с влиянием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связанных с влиянием ухудшения геополитической и экономической ситуации на развитие отраслей экономики, а также связанных с проведением специальной военной операцией</t>
  </si>
  <si>
    <t>ч.3 ст.48</t>
  </si>
  <si>
    <t xml:space="preserve">Указом Губернатора Красноярского края от 25.10.2022 N 317-уг "О социально-экономических мерах поддержки лиц, принимающих участие в специальной военной операции, и членов их семей"
</t>
  </si>
  <si>
    <t>26.10.2022 - не установ.</t>
  </si>
  <si>
    <t>постановление администрации города Дивногорска от 27.03.2024 №48п «Об утверждении порядка предоставления в исключительных случаях, единовременной помощи членам семей лиц, принимающих участие в специальной военной операции»</t>
  </si>
  <si>
    <t>Решение Дивногорского городского совета депутатов №49-300-НПА от 26.06.2024</t>
  </si>
  <si>
    <t>Постановление Правительства Красноярского края от 01.11.2022 N 935-п" Об утверждении Методики распределения иных межбюджетных трансфертов из краевого бюджета бюджетам муниципальных образований Красноярского края на финансовое обеспечение (возмещение) расходов, связанных с предоставлением мер социальной поддержки в сфере дошкольного и общего образования детям из семей лиц, принимающих (принимавших) участие в специальной военной операции, и (или) лиц, выполняющих (выполнявших) задачи по отражению вооруженного вторжения на территорию Российской Федерации, правил их предоставления и их распределения на 2025 год и плановый период 2026 - 2027 годов"</t>
  </si>
  <si>
    <t>2.3.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прав на решение вопросов, не отнесенных к вопросам местного значения городского округа, всего</t>
  </si>
  <si>
    <t>2.3.1. по перечню, предусмотренному Законом № 131-ФЗ, всего</t>
  </si>
  <si>
    <t>2.3.1.13. Осуществление мероприятий по отлову и содержанию безнадзорных животных, обитающих на территории городского округа</t>
  </si>
  <si>
    <t>2.3.1.15. оказание содействия развитию физической культуры и спорта инвалидов, лиц с ограниченными возможностями здоровья, адаптивной физической культуры и адаптивного спорта</t>
  </si>
  <si>
    <t>1103
04100S4360,612</t>
  </si>
  <si>
    <t>2.3.2. по участию в осуществлении государственных полномочий (не переданных в соответствии со статьей 19 Закона № 131-ФЗ), если это участие предусмотрено федеральными законами, всего</t>
  </si>
  <si>
    <t>…</t>
  </si>
  <si>
    <t>2.3.3.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</si>
  <si>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2.3.3.2. обеспечение мер социальной поддержки населения</t>
  </si>
  <si>
    <t xml:space="preserve">решение городского Совета депутатов от 28.02.2013 № 30-192-ГС "Об утверждении Положения о почетном звании "Почетный гражданин г.Дивногорска"
от 20.12.2007 №36-216-ГС (в редакции от 27.03.2008 №39-233-ГС, от 29.01.2009 №47-284-ГС, от 29.04.2010 №2-5-ГС, от 30.06.2011 №15-103-ГС, от 25.10.2012 №27-169-ГС) </t>
  </si>
  <si>
    <t>1003
8210085030,330</t>
  </si>
  <si>
    <t>Распоряжение Администрации города Дивногорска от 25.09.2024 №1503р "О порядке проведения конкурса "Лучший участковый уполномоченный полиции в городе Дивногорске" в 2024 годк.</t>
  </si>
  <si>
    <t>1003
8210085060,350</t>
  </si>
  <si>
    <t>1003
8210088050,310</t>
  </si>
  <si>
    <t>решение Дивногорского городского Совета депутатов от 26.06.2024 № 49-295-НПА «О внесении изменений в решение Дивногорского городского Совета депутатов от  20 декабря 2023 г. № 42–252–ГС «О бюджете города Дивногорска на 2024 год и плановый период 2025-2026 годов»</t>
  </si>
  <si>
    <t>1003
8210088710,323</t>
  </si>
  <si>
    <t>2.4. Расходные обязательства, возникшие в результате принятия нормативных правовых актов городского округа, заключения договоров (соглашений) в рамках реализации органами местного самоуправления городского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</si>
  <si>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2.4.1. за счет субвенций, предоставленных из федерального бюджета, всего</t>
  </si>
  <si>
    <t>2.4.1.2. по составлению списков кандидатов в присяжные заседатели</t>
  </si>
  <si>
    <t>Федеральный закон от 20.08.2004 № 113-ФЗ "О присяжных заседателях федеральных судов общей юрисдикции в Российской Федерации"</t>
  </si>
  <si>
    <t>03.09.2004 - не установ</t>
  </si>
  <si>
    <t>Постановление Правительства Красноярского края от 31.07.2009 № 391-п "О Порядке и сроках составления общего и запасного списков кандидатов в присяжные заседатели Красноярского края"</t>
  </si>
  <si>
    <t>18.08.2009 - не установ</t>
  </si>
  <si>
    <t>0105
8210051200,244</t>
  </si>
  <si>
    <t>2.4.1.3. на осуществление воинского учета на территориях, на которых отсутствуют структурные подразделения военных комиссариатов</t>
  </si>
  <si>
    <t>Постановление Правительства РФ от 29 апреля 2006 № 258 «О субвенциях на осуществление полномочий по первичному воинскому учету на территориях, где отсутствуют военные комиссариаты»</t>
  </si>
  <si>
    <t>Постановление Администрации г.Дивногорска от 23.05.2012 № 126-п "Об утверждении порядка использования субвенции на осуществление полномочий по первичному воинскому учету на территориях, где отсутствуют военные комиссариаты"</t>
  </si>
  <si>
    <t>0203
8210051180,121</t>
  </si>
  <si>
    <t>0203
8210051180,129</t>
  </si>
  <si>
    <t>0203
8210051180,244</t>
  </si>
  <si>
    <t>2.4.1.22. Всероссийская перепись населения</t>
  </si>
  <si>
    <t>2.4.2. за счет субвенций, предоставленных из бюджета субъекта Российской Федерации, всего</t>
  </si>
  <si>
    <t>2.4.2.1.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 (адм комис-8210075140, КДН-8210076040, опека-0140075520, кол.дог-8210074290, соц.под-ка0250075130, формир и содер. Арх. Ф-да-0340075190)-119,129,244,850.</t>
  </si>
  <si>
    <t>ст.44, п.86</t>
  </si>
  <si>
    <t>Закон Красноярского края от 30.01.2014 № 6-2056 О наделении органов местного самоуправления городских округов и муниципальных районов края государственными полномочиями по осуществлению уведомительной регистрации коллективных договоров и территориальных соглашений и контроля за их выполнением</t>
  </si>
  <si>
    <t>19.02.2014 - не установ</t>
  </si>
  <si>
    <t>Постановление Администрации г.Дивногорска от 10.09.2014 № 201п "Об утверждении порядка использования субвенции на реализацию Закона Красноярского края от 30.01.2014 № 6-2056 "О наделении органов местного самоуправления городских округов и муниципальных районов края государственными полномочиями по осуществлению уведомительной регистрации коллективных договорв и территориальных соглашений и контроля за их выполнением"</t>
  </si>
  <si>
    <t>0104
8210074290,129</t>
  </si>
  <si>
    <t>0104
8210074290,244</t>
  </si>
  <si>
    <t>ст.44, п.56</t>
  </si>
  <si>
    <t>Закон Красноярского края от 23.04.2009 № 8-3170  "О наделении органов местного самоуправления муниципальных образований края государственными полномочиями по созданию и обеспечению деятельности административных комиссий"</t>
  </si>
  <si>
    <t>29.05.2009 - не установ</t>
  </si>
  <si>
    <t>Постановление Администрации г.Дивногорска от 09.04.2012 № 74п "Об утверждении порядка использования субвенции на реализацию Закона Красноярского края от 23.04.2009 № 8-3170 "О наделении органов местного самоуправления муниципальных образований края государственными полномочиями по созданию и обеспечению деятельности административных комиссий"</t>
  </si>
  <si>
    <t>0104
8210075140,129</t>
  </si>
  <si>
    <t>Закон Красноярского края от 23.04.2009 № 8-3168 "Об административных комиссиях в Красноярском крае"</t>
  </si>
  <si>
    <t>28.05.2009 - не установ</t>
  </si>
  <si>
    <t>0104
8210075140,244</t>
  </si>
  <si>
    <t>ст.44, п.55</t>
  </si>
  <si>
    <t>Закон Красноярского края от 26.12.2006 № 21-5589 "О наделении органов местного самоуправления муниципальных районов и городских округов края государственными полномочиями по созданию и обеспечению деятельности комиссий по делам несовершеннолетних и защите их прав"</t>
  </si>
  <si>
    <t>01.01.2007 - не установ</t>
  </si>
  <si>
    <t>Постановление Администрации г.Дивногорска от 01.02.2010 № 95п "Об утверждении порядка использования субвенции на реализацию Закона Красноярского края от 26.12.2006 года № 21-5589 "О наделении органов местного самоуправления муниципальных районов и городских округов края государственными полномочиями по созданию и обеспечению деятельности комиссий по делам несовершеннолетних и защите их прав"</t>
  </si>
  <si>
    <t>0104
8210076040,129</t>
  </si>
  <si>
    <t>Закон Красноярского края от 31.10.2002 № 4-608 "О системе профилактики безнадзорности и правонарушений несовершеннолетних"</t>
  </si>
  <si>
    <t>08.12.2002 - не установ</t>
  </si>
  <si>
    <t>0104
8210076040,244</t>
  </si>
  <si>
    <t>Закон края от 11.07.2019 года №7-2988 "О наделении органов местного самоуправления муниципальных районов и городских округов государственными полномочиями по организации и осуществлению деятельности по опеке и попечительству в отношении совершеннолетних граждан, а также в сфере патронажа"</t>
  </si>
  <si>
    <t>02.09.2008-не установ</t>
  </si>
  <si>
    <t>1006
8210002890,129</t>
  </si>
  <si>
    <t>1006
8210002890,244</t>
  </si>
  <si>
    <r>
      <t xml:space="preserve">1006
</t>
    </r>
    <r>
      <rPr>
        <b/>
        <sz val="8"/>
        <rFont val="Times New Roman"/>
        <family val="1"/>
        <charset val="204"/>
      </rPr>
      <t>8210075870</t>
    </r>
    <r>
      <rPr>
        <sz val="8"/>
        <rFont val="Times New Roman"/>
        <family val="1"/>
        <charset val="204"/>
      </rPr>
      <t>,129</t>
    </r>
  </si>
  <si>
    <r>
      <t xml:space="preserve">1006
</t>
    </r>
    <r>
      <rPr>
        <b/>
        <sz val="8"/>
        <rFont val="Times New Roman"/>
        <family val="1"/>
        <charset val="204"/>
      </rPr>
      <t>8210075870</t>
    </r>
    <r>
      <rPr>
        <sz val="8"/>
        <rFont val="Times New Roman"/>
        <family val="1"/>
        <charset val="204"/>
      </rPr>
      <t>,244</t>
    </r>
  </si>
  <si>
    <t>0104
8210078460,129</t>
  </si>
  <si>
    <t>О709
0140078460,129</t>
  </si>
  <si>
    <t>Федеральный закон от 22 октября 2004 г. N 125-ФЗ "Об архивном деле в Российской Федерации" </t>
  </si>
  <si>
    <t>статья 15</t>
  </si>
  <si>
    <t>22.10.2004 - бессрочный</t>
  </si>
  <si>
    <t xml:space="preserve">Закон Красноярского края от 21.12.2010 № 11-5564 "О наделении органов местного самоуправления государственными полномочиями в области архивного дела"
</t>
  </si>
  <si>
    <t xml:space="preserve">30.12.2010 - бессрочный
</t>
  </si>
  <si>
    <t xml:space="preserve">Постановление администрации города Дивногорска от 30.03.2012 № 67п "Об утверждении порядка использования субвенции на реализацию Закона Красноярского края от 21.12.2010 № 11-5564 «О наделении органов местного самоуправления государственными полномочиями в области архивного дела» </t>
  </si>
  <si>
    <t>0804
0340075190,120</t>
  </si>
  <si>
    <t>0804
0340075190,244</t>
  </si>
  <si>
    <t xml:space="preserve">Федеральный закон от 24.04.2008 г. N 48-ФЗ "Об опеке и попечительстве" </t>
  </si>
  <si>
    <t>01.09.2008 - бессрочный</t>
  </si>
  <si>
    <t xml:space="preserve">Постановление администрации г. Дивногорска от 27.03.2012 № 63п "О наделении государственными полномочиями отдел образования  администрации города Дивногорска" </t>
  </si>
  <si>
    <t>0709
0140075520,120</t>
  </si>
  <si>
    <t>0709
0140075520,244</t>
  </si>
  <si>
    <t>2.4.2.2.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самоуправления-111,121</t>
  </si>
  <si>
    <t>0104
8210074290,121</t>
  </si>
  <si>
    <t>0104
8210075140,121</t>
  </si>
  <si>
    <t>0104
8210076040,121</t>
  </si>
  <si>
    <t>1006
8210002890,120</t>
  </si>
  <si>
    <t>0104
8210078460,121</t>
  </si>
  <si>
    <r>
      <t xml:space="preserve">1006
</t>
    </r>
    <r>
      <rPr>
        <b/>
        <sz val="8"/>
        <rFont val="Times New Roman"/>
        <family val="1"/>
        <charset val="204"/>
      </rPr>
      <t>8210075870</t>
    </r>
    <r>
      <rPr>
        <sz val="8"/>
        <rFont val="Times New Roman"/>
        <family val="1"/>
        <charset val="204"/>
      </rPr>
      <t>,121</t>
    </r>
  </si>
  <si>
    <t>0709
0140078460,121</t>
  </si>
  <si>
    <t>0804
0340075190,121</t>
  </si>
  <si>
    <t>0709
0140075520,121</t>
  </si>
  <si>
    <t>2.4.2.28.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</si>
  <si>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ст.44, п.34</t>
  </si>
  <si>
    <t>Закон Красноярского края от 24.12.2009 № 9-4225 "О наделении органов местного самоуправления отдельных муниципальных районов и городских округов края государственными полномочиями по обеспечению жилыми помещениями детей-сирот и детей, оставшихся без попечения родителей, а также лиц из их числа, не имеющих жилого помещения"</t>
  </si>
  <si>
    <t>01.01.2010 - не установ</t>
  </si>
  <si>
    <t>остановление администрации города от 18.06.2014 № 141п "Об утверждении порядка взаимодействия отделов и специалистов администрации города Дивногорска по реализации зЗакона Красноярского края от 24.12.2009 № 9-4225 "О наделении органов местного самоуправления отдельных муниципальных районов и городских округов края государственными полномочиями по обеспечению жилыми помещениями детей-сирот и детей, оставщихся без попечения родителей, лиц из числа детей-сирот и детей, оставшихся бех попечения родителей"</t>
  </si>
  <si>
    <t xml:space="preserve">1004
014007587.412
</t>
  </si>
  <si>
    <t>Постановление ПравительстваРФ от 30.12.2017 №1710 "Об утверждении государственной программы РФ "Обеспечение доступным и комфортным жильем и коомунальными услугами граждан РФ"</t>
  </si>
  <si>
    <t xml:space="preserve"> Постановление Правительства Красн, краяот 23.01.2025 №34-п "Об утверждении распределения субсидий бюджетам муниципальных образований Красноярского края на предоставление социальных выплат молодым семьям на приобретение (строительство) жилья на 2025 год и пл пер.2026-2027гг"</t>
  </si>
  <si>
    <t>п.п. 3.2</t>
  </si>
  <si>
    <t>с 01.01.2014; действует по настояще время</t>
  </si>
  <si>
    <t>1004
01400L820,412</t>
  </si>
  <si>
    <t>2.4.2.35.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обеспечения деятельности организаций социального обслуживания субъекта Российской Федерации)(024001510)</t>
  </si>
  <si>
    <t>2.4.2.36.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граждан)-0110075540, 0220006400</t>
  </si>
  <si>
    <t>ст.44, п.29</t>
  </si>
  <si>
    <t xml:space="preserve">Закон Красноярского края от 27.10.2005 № 17-4379 «О наделении органов местного самоуправления муниципальных районов и городских округов края государственными полномочиями  по осуществлению присмотра и ухода за детьми инвалидами, детьми сиротами и детьми оставшимися без попечения родителей, а также за детьми с туберкулезной интоксикацией обучающимися в образовательных организациях, реализующих образовательную программу дошкольного образования, без взимания родительской платы», Закон Красноярского края от 26.06.2014 № 6-2519 «Об образовании в Красноярском крае". </t>
  </si>
  <si>
    <t>01.01.2008 - бесрочный</t>
  </si>
  <si>
    <t>Постановление администрации г. Дивногорска от 11.04.2014 № 82п "О порядке расходования и учета субвенций на реализацию государственных полномочий по осуществлению присмотра и ухода за детьми инвалидами, детьми сиротами и детьми оставшимися без попечения родителей, а также за детьми с туберкулезной интоксикацией обучающимися в образовательных организациях, реализующих образовательную программу дошкольного образования, без взимания родительской платы".</t>
  </si>
  <si>
    <t>0701
0110075540,612</t>
  </si>
  <si>
    <t>0701
0110075540,622</t>
  </si>
  <si>
    <t>0701
0110075540,870</t>
  </si>
  <si>
    <t>2.4.2.37.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граждан)0120075660, 011075560</t>
  </si>
  <si>
    <t>1003
0120075660,612</t>
  </si>
  <si>
    <t xml:space="preserve">Постановление администрации города Дивногорска от 07.02.2014 № 08п "О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t>
  </si>
  <si>
    <t>1003
0120075660,622</t>
  </si>
  <si>
    <t>ст.44, п.27,50</t>
  </si>
  <si>
    <t>cт.в целом</t>
  </si>
  <si>
    <t>Закон Красноярского края от 29.03.2007 № 22-6015 "О наделении органов местного самоуправления муниципальных районов и городских округов края государственными полномочиями по выплате компенсации родителям (законным представителям) детей, посещающих образовательные организации, реализующие образовательную программу дошкольного образования"</t>
  </si>
  <si>
    <t>25.04.2007 - не установ</t>
  </si>
  <si>
    <t>1004
0110075560,321</t>
  </si>
  <si>
    <t>2.4.2.41. организации и обеспечения отдыха и оздоровления детей (за исключением организации отдыха детей в каникулярное время), осуществления мероприятий по обеспечению безопасности жизни и здоровья детей в период их пребывания в организациях отдыха детей и их оздоровления, осуществления регионального контроля за соблюдением требований законодательства Российской Федерации в сфере организации отдыха и оздоровления детей, осуществления иных полномочий, предусмотренных Федеральным законом от 24 июля 1998 г.  № 124-ФЗ «Об основных гарантиях прав ребенка в Российской Федерации»</t>
  </si>
  <si>
    <t>ст.44, п. 57</t>
  </si>
  <si>
    <t xml:space="preserve">Закон Красноярского края от 07.07.2009 N 8-3618 "Об обеспечении прав детей на отдых, оздоровление и занятость в Красноярском крае"  </t>
  </si>
  <si>
    <t>0709
013007649,244</t>
  </si>
  <si>
    <t>0709
0130076490,321</t>
  </si>
  <si>
    <t>0709
013007649,323</t>
  </si>
  <si>
    <t>0709
0130076490,612</t>
  </si>
  <si>
    <t>0707/0709
0130076490,622</t>
  </si>
  <si>
    <t>2.4.2.60. на установление подлежащих государственному регулированию цен (тарифов) на товары (услуги) в соответствии с законодательством Российской Федерации</t>
  </si>
  <si>
    <t>ст.44, п.104</t>
  </si>
  <si>
    <t>0502
0810075700,631</t>
  </si>
  <si>
    <t>0502
0810075700,811</t>
  </si>
  <si>
    <t>Закон Красноярского края от 13.06.2013 № 4-1402 "О наделении органов местного самоуправления муниципальных районов и городских округов края отдельными государственными полномочиями по организации проведения мероприятий по отлову, учету, содержанию и иному обращению с безнадзорными домашними животными"</t>
  </si>
  <si>
    <t>11.07.2013 - не установ</t>
  </si>
  <si>
    <t>0412
0810075180,110</t>
  </si>
  <si>
    <t>0412
0810075180,244</t>
  </si>
  <si>
    <t>ст.44, п.143</t>
  </si>
  <si>
    <t>2.5.Расходы на осуществление отдельных государственных полномочий, не переданных, но осуществляемых органами местного самоуправления за счет субвенций из бюджета субъекта Российской Федерации</t>
  </si>
  <si>
    <t>2.5.1.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общего образования в муниципальных общеобразовательных организациях в городской местности)-0120074090, 0120075640.</t>
  </si>
  <si>
    <t xml:space="preserve">Закон Красноярского края от 26.06.2014 № 6-2519 «Об образовании в Красноярском крае" </t>
  </si>
  <si>
    <t>28.07.2014 - бесрочный</t>
  </si>
  <si>
    <t>ст.44, п.27</t>
  </si>
  <si>
    <t xml:space="preserve">Постановление администрации г. Дивногорска от 12.12.2017 № 231п "Об утверждении порядка расходования субвенции на финансовое обеспечение государственных гарантий прав граждан на получение общедоступного и бесплатного дошкольного, начального общего, основного общего, среднего общего образования, дополнительного образования детей в муниципальных образовательных организациях". Постановление администрации города Дивногорска от 30.09.2015 № 152п "Об утверждении муниципальной программы "Система образования города Дивногорска" </t>
  </si>
  <si>
    <t>0702
0120074090,611</t>
  </si>
  <si>
    <t>0702
0120074090,621</t>
  </si>
  <si>
    <t>0702
012007564,611</t>
  </si>
  <si>
    <t>0702
012007564,621</t>
  </si>
  <si>
    <t>0702
012007564,870</t>
  </si>
  <si>
    <t>2.5.3.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организациях)-0110074080, 0110075880.</t>
  </si>
  <si>
    <t>0701
0110074080,611</t>
  </si>
  <si>
    <t>Федеральный закон от 29.12.2012 № 273-ФЗ "Об образовании в Российской Федерации"</t>
  </si>
  <si>
    <t>ст.8, часть 1, пункт 3</t>
  </si>
  <si>
    <t>30.12.2012 - не установ</t>
  </si>
  <si>
    <t>0701
0110074080,621</t>
  </si>
  <si>
    <t>0701
0110075880,611</t>
  </si>
  <si>
    <t>0701
0110075880,621</t>
  </si>
  <si>
    <t>2.5.4.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обеспечения дополнительного образования детей в муниципальных общеобразовательных организациях)</t>
  </si>
  <si>
    <t>О703
0120075640,614</t>
  </si>
  <si>
    <t>О703
0120075640,624</t>
  </si>
  <si>
    <t>О703
0120075640,870</t>
  </si>
  <si>
    <t>2.6. Расходные обязательства, возникшие в результате принятия нормативных правовых актов городского округа, заключения соглашений, предусматривающих предоставление межбюджетных трансфертов из бюджета городского округа другим бюджетам бюджетной системы Российской Федерации, всего</t>
  </si>
  <si>
    <t>2.6.1. по предоставлению субсидий в бюджет субъекта Российской Федерации, всего</t>
  </si>
  <si>
    <t>2.6.2. по предоставлению иных межбюджетных трансфертов, всего</t>
  </si>
  <si>
    <t>2.6.2.1. адм Предоставление иных межбюджетных трансфертов на осуществление ликвидационных мероприятий, связанных с прекращением исполнения органами местного самоуправления</t>
  </si>
  <si>
    <t>2.7. Условно утвержденные расходы на первый и второй годы планового периода в соответствии с решением о местном бюджете</t>
  </si>
  <si>
    <t>Итого расходных обязательств муниципальных образований, без учета внутренних оборотов</t>
  </si>
  <si>
    <t>Итого расходных обязательств муниципальных образований</t>
  </si>
  <si>
    <t>разница субв</t>
  </si>
  <si>
    <t>надо субвенций</t>
  </si>
  <si>
    <t>разница общ</t>
  </si>
  <si>
    <t>надо всего</t>
  </si>
  <si>
    <t>Всего</t>
  </si>
  <si>
    <t>в т.ч за счет целевых средств федерального бюджета</t>
  </si>
  <si>
    <t xml:space="preserve">в т.ч. за счет целевых средств регионального бюджета </t>
  </si>
  <si>
    <t>в т.ч. за счет прочих безвозмездных поступлений, включая средства фондов</t>
  </si>
  <si>
    <t>в т.ч. за счет средств местных бюджетов</t>
  </si>
  <si>
    <t>текущий 2026</t>
  </si>
  <si>
    <t>плановый 2027</t>
  </si>
  <si>
    <t>41=42+43+44+45</t>
  </si>
  <si>
    <t>46=47+48+49+50</t>
  </si>
  <si>
    <t>Объем средств на исполнение расходного обязательства муниципального образования</t>
  </si>
  <si>
    <t>плановый период</t>
  </si>
  <si>
    <t>2028г.</t>
  </si>
  <si>
    <t>2029г.</t>
  </si>
  <si>
    <t>51=52+53+54+55</t>
  </si>
  <si>
    <t>56=57+58+59+60</t>
  </si>
  <si>
    <t>0310
0820087090.244</t>
  </si>
  <si>
    <t>0310
0820087080.244</t>
  </si>
  <si>
    <t>0412
0360080610.621</t>
  </si>
  <si>
    <t>0503
036008061.621</t>
  </si>
  <si>
    <t>0503
0360080610.622</t>
  </si>
  <si>
    <t>0503
036008061T/621</t>
  </si>
  <si>
    <t>0503
036008061Z/621</t>
  </si>
  <si>
    <t>0503
0810089390.244</t>
  </si>
  <si>
    <t>0310
08200S4980.244</t>
  </si>
  <si>
    <t>0113
8310080040.853</t>
  </si>
  <si>
    <t>0703
01100S5680.614</t>
  </si>
  <si>
    <t>0102
821008021А,129,129</t>
  </si>
  <si>
    <t>0102
821008021А,121</t>
  </si>
  <si>
    <t>Постановление Правительства Красноярского края от 14.05.2025 №409-п "Об утверждении распредления субсидий бюджетам МО на финансирование расходов по капремонту…объектов электросетевого хозяйства, водовснабжения, водоотведения"</t>
  </si>
  <si>
    <t>Соглашение о предоставлению бюджету гор окр г.Дивногорск Кр кр из краевого бюджета субсидии на осуществ дор деят в целях решения СЭР территории за счет средств дорожного фонда</t>
  </si>
  <si>
    <t>18.04.2025 №223/С</t>
  </si>
  <si>
    <t>18.04.2025-не установлен</t>
  </si>
  <si>
    <t>в цело</t>
  </si>
  <si>
    <t>18.04.2025 -не установлен</t>
  </si>
  <si>
    <t>Соглашение о предоставлении иного межбюджетного трансферта из кр.бюджета бюджету гор Дивногорска Кр кр от 17.07.2025 №3/26-25</t>
  </si>
  <si>
    <t>Постановление Правтельства Кр кр от 30.09.2013 №514-п "Об утверждении прог Кр кр "Создание условий для обеспечения доступным, комфортным жильем граждан"</t>
  </si>
  <si>
    <t>01.01.2013-не установлен</t>
  </si>
  <si>
    <t>Постановление Правительства Красноярского края от 31.12.2019 № 795-п "Порядок предоставления и распределения субсидий бюджетам муниципальных образований Красноярского края на поддержку деятельности муниципальных молодежных центров</t>
  </si>
  <si>
    <t>31.12.2019-не установлен</t>
  </si>
  <si>
    <r>
      <rPr>
        <b/>
        <sz val="8"/>
        <rFont val="Times New Roman"/>
        <family val="1"/>
        <charset val="204"/>
      </rPr>
      <t>2.3.1.7.</t>
    </r>
    <r>
      <rPr>
        <sz val="8"/>
        <rFont val="Times New Roman"/>
        <family val="1"/>
        <charset val="204"/>
      </rPr>
      <t xml:space="preserve"> создание условий для развития туризма</t>
    </r>
  </si>
  <si>
    <r>
      <rPr>
        <b/>
        <sz val="8"/>
        <rFont val="Times New Roman"/>
        <family val="1"/>
        <charset val="204"/>
      </rPr>
      <t>2.3.1.12.</t>
    </r>
    <r>
      <rPr>
        <sz val="8"/>
        <rFont val="Times New Roman"/>
        <family val="1"/>
        <charset val="204"/>
      </rPr>
      <t xml:space="preserve"> предоставление гражданам жилых помещений муниципального жилищного фонда по договорам найма жилых помещений жилищного фонда социального использования в соответствии с жилищным законодательством</t>
    </r>
  </si>
  <si>
    <t>0211..2000 - не установ</t>
  </si>
  <si>
    <t>Закон Красноярского края "О создании благоприятных условий для развития туризма в Красноярском крае" от 09.02.2023 №5-1544</t>
  </si>
  <si>
    <t>не определен</t>
  </si>
  <si>
    <t>Федеральный закон №33-ФЗ "Об общих принципах организации местного самоуправления в единой системе публичной власти" от 20.03.2025</t>
  </si>
  <si>
    <t xml:space="preserve">Гл.3, ст.13 п.8 </t>
  </si>
  <si>
    <t>20.03.2025-не установлен</t>
  </si>
  <si>
    <t>Устав городского округа город Дивногорск Красноярского края от 26.11.2025 №3-7-НПА</t>
  </si>
  <si>
    <t>26.12.2025 - не установлен</t>
  </si>
  <si>
    <t>Гл. 1, ст.26, п.4.5.6</t>
  </si>
  <si>
    <t xml:space="preserve"> Закон Красноярского края от 20.12.2007 N 4-1089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несовершеннолетних".
</t>
  </si>
  <si>
    <t>01.01.2026-не установлен</t>
  </si>
  <si>
    <t>30.09.2013-не установлен</t>
  </si>
  <si>
    <t>постановлением Администрации города Дивногорска от 18.11.2015 № 182п "Об
утверждении Порядка формирования муниципального задания в отношении муниципальных
учреждений и финансового обеспечения выполнения муниципального задания"</t>
  </si>
  <si>
    <t>Гл.9, ст.36, п.1, п.п.23</t>
  </si>
  <si>
    <t>Г.9, ст.36, п.1, п.п.20.21</t>
  </si>
  <si>
    <t>18.11.2015 - не установлен</t>
  </si>
  <si>
    <t>Гл.7, ст.24,25</t>
  </si>
  <si>
    <t>Гл.7, ст.24, 25</t>
  </si>
  <si>
    <t>11.12.2021 не установлен</t>
  </si>
  <si>
    <t>21.04.2016-не установен</t>
  </si>
  <si>
    <t>24.09.2019г-не установлен</t>
  </si>
  <si>
    <t>от 09.09.2022 -не установлен</t>
  </si>
  <si>
    <t>09.09.2022-не установлен</t>
  </si>
  <si>
    <t>18.05.2012-не установлен</t>
  </si>
  <si>
    <t>23.04.2009-не установлен</t>
  </si>
  <si>
    <t>09.09.2022 не устаовлено</t>
  </si>
  <si>
    <t>от 18.05.2012-не установлен</t>
  </si>
  <si>
    <t>от 30.03.2012-не установлен</t>
  </si>
  <si>
    <t>от 26.11.2021 -не установлен</t>
  </si>
  <si>
    <t>18.11.2015 не установлен</t>
  </si>
  <si>
    <t>постановлением администрации города Дивногорска от 09.09.2022 № 156
п "Об утверждении Порядка определения объема и условий Предоставления субсидий на иные
цели из бюджета городского округа город Дивногорск муниципальным учреждениям городского
округа город Дивногорск"</t>
  </si>
  <si>
    <t>23.12.2022 не установлен</t>
  </si>
  <si>
    <t>26.03.2025-не установлен</t>
  </si>
  <si>
    <t>Распоряжение Правительства Красноярского края от 1 апреля 2026 г. N 270-р Об утверждении распределения субсидий бюджетам муниципальных образований Красноярского края на развитие детско-юношеского спорта в 2026 году</t>
  </si>
  <si>
    <t>01.04.2026-не установлен</t>
  </si>
  <si>
    <t>Постановление Правительства Красноярского края от 6 февраля 2026 г. N 112-п "Об утверждении распределения иных межбюджетных трансфертов бюджетам муниципальных образований Красноярского края на поддержку физкультурно-спортивных клубов по месту жительства на 2026 год"</t>
  </si>
  <si>
    <t>06.02.2026-не установлен</t>
  </si>
  <si>
    <t>Гл.9, ст.36, п.1, п.п.40</t>
  </si>
  <si>
    <t xml:space="preserve"> 23.12.2022не установлен</t>
  </si>
  <si>
    <t xml:space="preserve">Распоряжение Правительства Красноярского края от 7 апреля 2026 г. N 285-р Об утверждении распределения субсидии бюджетам муниципальных образований Красноярского края на приобретение специализированных транспортных средств для перевозки инвалидов, спортивного оборудования, инвентаря, экипировки для занятий физической культурой и спортом лиц с ограниченными возможностями здоровья и инвалидов в муниципальных физкультурно-спортивных организациях и муниципальных образовательных организациях в 2026 году
</t>
  </si>
  <si>
    <t xml:space="preserve"> 09.09.2022 не сстановлен</t>
  </si>
  <si>
    <t>от 28.08.2025- не установлен</t>
  </si>
  <si>
    <t>ст.36 п.1 п.п16</t>
  </si>
  <si>
    <t>16.12.2025. - не установлен</t>
  </si>
  <si>
    <t xml:space="preserve"> Закон Красноярского края от 27.12.2005 N 17-4377 "О наделении органов местного самоуправления муниципальных районов и городских округов края государственными полномочиями по обеспечению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t>
  </si>
  <si>
    <t>ст 1</t>
  </si>
  <si>
    <t>27.12.2005- не установлен</t>
  </si>
  <si>
    <t>Постановление Правительства Красноярского края от 14 сентября 2021 г. N 628-П
"Об утверждении Порядка учета и исчисления величины среднедушевого дохода семьи для определения права на получение мер социальной поддержки</t>
  </si>
  <si>
    <t>14.09.2021 не установлен</t>
  </si>
  <si>
    <t>14.12.2016 не установлен</t>
  </si>
  <si>
    <t>от 19.09.2024-не установлен</t>
  </si>
  <si>
    <t>31.12.2027 включительно</t>
  </si>
  <si>
    <t>09.09.2022 не установлено</t>
  </si>
  <si>
    <t>Постановление администрации г. Дивногорска от 16.05.2012 № 119п "Об утверждении Положения о системах оплаты труда работников муниципальных учреждений города Дивногорска"
  Постановление администрации г. Дивногорска от 04.08.2025 №93п «Об утверждении Примерного положения об оплате труда работников муниципальных учреждений, подведомственных отделу образования администрации города Дивногорска"</t>
  </si>
  <si>
    <t xml:space="preserve"> 16.05.2012 не установдено</t>
  </si>
  <si>
    <t>от 30 января 2023 г-не установлен</t>
  </si>
  <si>
    <t>16.05.2012 не установлено</t>
  </si>
  <si>
    <t xml:space="preserve"> от 27.03.2024</t>
  </si>
  <si>
    <t>от 26.06.2024-не ограничен</t>
  </si>
  <si>
    <t xml:space="preserve"> 01.11.2022-не установлен</t>
  </si>
  <si>
    <t>30.03.2012 не установлен</t>
  </si>
  <si>
    <t>от 11.04.2014-не установлен</t>
  </si>
  <si>
    <t xml:space="preserve">ст 1 </t>
  </si>
  <si>
    <t>27.12.2005 не установлен</t>
  </si>
  <si>
    <t xml:space="preserve">Постановление Правительства Красноярского края от 24.02.2015 N 65-п "Об утверждении Порядка учета и исчисления величины среднедушевого дохода семьи для определения права на получение мер социальной поддержки, </t>
  </si>
  <si>
    <t>24.02.2015 бесрочно</t>
  </si>
  <si>
    <t>07.02.2014 не установлен</t>
  </si>
  <si>
    <t>07.07.2009 не установлен</t>
  </si>
  <si>
    <t xml:space="preserve"> 18.11.2015- не установлено</t>
  </si>
  <si>
    <t>12.12.2017 не установлен</t>
  </si>
  <si>
    <t>Постановление администрации г. Дивногорска от 12.12.2017 № 231п "Об утверждении порядка расходования субвенции на финансовое обеспечение государственных гарантий прав граждан на получение общедоступного и бесплатного дошкольного, начального общего, основного общего, среднего общего образования, дополнительного образования детей в муниципальных образовательных организациях".  Постановление администрации г. Дивногорска от 04.08.2025 №93п «Об утверждении Примерного положения об оплате труда работников муниципальных учреждений, подведомственных отделу образования администрации города Дивногорска"</t>
  </si>
  <si>
    <t>Гл.9,ст.36 п.1 п.п16</t>
  </si>
  <si>
    <t>Закон Красноярского края от 04.07.2024 № 7-2981 "О внесении изменений в ЗК"О защите населения и территории Кр.кр. О чрезвычайных ситуаций природного и техногенного характера" и признании утратившим силу з-на края "О резервах материально-технических ресурсов для ликвидации чрезвычайных ситуаций на территории Красноярского края"</t>
  </si>
  <si>
    <t>26.11.2024-не установлен</t>
  </si>
  <si>
    <t>Гл.9,ст.36, п.1, п.п.-11</t>
  </si>
  <si>
    <t>Гл.9, ст.36, п. 1, п.п.14</t>
  </si>
  <si>
    <t>ст. 16, п.1, п.п.10</t>
  </si>
  <si>
    <t>06.10.2003-не установлен</t>
  </si>
  <si>
    <t>от 30.12.2017-не установлен</t>
  </si>
  <si>
    <t xml:space="preserve">в целом </t>
  </si>
  <si>
    <t>от 28.02.2013-не установлен</t>
  </si>
  <si>
    <t>от 25.09.2024-не установлен</t>
  </si>
  <si>
    <t>от 26.06.2024 -не установлен</t>
  </si>
  <si>
    <t>ст.16, пункт 1, п/пункт 28</t>
  </si>
  <si>
    <t>в ред.от 20.03.2025-не установлен - не установ</t>
  </si>
  <si>
    <t>ст.16, пункт 1, п/пункт 32</t>
  </si>
  <si>
    <t>Гл.9, ст.36, п.1, п.п.34</t>
  </si>
  <si>
    <t>Гл.9, ст.36, п.1, п.п.38</t>
  </si>
  <si>
    <t>Соглашение о предоставлении иного межбюджетного трансферта из бюджета
Красноярского края бюджету городского округа город Дивногорск Красноярского края
на выплату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в 2026–2028 годах</t>
  </si>
  <si>
    <t>26.01.2026 по 31.12.2028</t>
  </si>
  <si>
    <t>постановлением Правительства Красноярского края от
19.09.2024 № 658-п «Об утверждении Методики распределения иных межбюджетных
трансфертов бюджетам муниципальных образований Красноярского края на выплату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правил их предоставления»</t>
  </si>
  <si>
    <t>19.09.2024 не установлено</t>
  </si>
  <si>
    <t xml:space="preserve">постановлением Правительства Красноярского края от 15.09.2020 № 622-п «Об
утверждении Методики распределения иных межбюджетных трансфертов бюджетам
муниципальных образований Красноярского края на выплату ежемесячного денежного
вознаграждения за классное руководство педагогическим работникам муниципальных
образовательных организаций и правил их предоставления» </t>
  </si>
  <si>
    <t>15.09.2020 не установлено</t>
  </si>
  <si>
    <t>Соглашение о предоставлении иного межбюджетного трансферта из бюджета
Красноярского края местному бюджету городского округа город Дивногорск на выплату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2026-
2028 годах</t>
  </si>
  <si>
    <t>постановлением Правительства Красноярского края от 31.12.2019 № 828-п «Об утверждении Порядка предоставления и распределения субсидии бюджетам муниципальных образований Красноярского края на приведение зданий и сооружений общеобразовательных организаций в соответствие с требованиями законодательства»</t>
  </si>
  <si>
    <t xml:space="preserve"> 31.12.2019  не устанговлено</t>
  </si>
  <si>
    <t xml:space="preserve">Соглашение 
о  предоставлении субсидии бюджету городского округа город Дивногорск на приведение зданий и сооружений общеобразовательных организаций 
в соответствие с требованиями законодательства на 2026 – 2028 годы
</t>
  </si>
  <si>
    <t xml:space="preserve">до полного исполнения </t>
  </si>
  <si>
    <t>постановлением Правительства Красноярского края от 20.05.2022 № 439-п «Об
утверждении Порядка предоставления и распределения субсидий бюджетам
муниципальных образований на приобретение оборудования в целях реализации
мероприятий по модернизации школьных систем образования»</t>
  </si>
  <si>
    <t>20.05.2022 не установлен</t>
  </si>
  <si>
    <t xml:space="preserve"> ФЗ от 10.03.99 № 131-ФЗ "Об общих принципах организации местного самоуправления в РФ". </t>
  </si>
  <si>
    <t>ст. 16. п.1. п.п.8</t>
  </si>
  <si>
    <t>Решение Дивногорского городского совета депутатов " Об утверждении Положения о порядке управления и распоряжения муниципальным имцществом МО город Дивногорск"  от 24.03.2011 № 12-76-ГС</t>
  </si>
  <si>
    <t>24.03.2011 - не установлен</t>
  </si>
  <si>
    <t>гл.9, ст.36 п.1, п.п.4</t>
  </si>
  <si>
    <t>соглашение о предоставлении бюджету ГО г.Дивногорск Красн кр из краевого бюджета субсидии на осуществление дорожной деятельности в целях решения задач СЭР территорий за счет средств дорожного фонда КРасноярского края № 23/с от 25.02.2026</t>
  </si>
  <si>
    <t>25.02.2026-31.12.2026</t>
  </si>
  <si>
    <t>соглашение о предоставлении бюджету ГО г.Дивногорск Красн кр из краевого бюджета субсидии на капитальный ремонт и ремонт автомобилдьных дорог общего пользования местного значения за счет средств дорожного фонда Красноярского края № 47/с от 23.03.2026</t>
  </si>
  <si>
    <t>23.03.2026- 31.12.2026</t>
  </si>
  <si>
    <t xml:space="preserve"> № 131-ФЗ "Об общих принципах организации местного самоуправления в РФ". </t>
  </si>
  <si>
    <t xml:space="preserve">Постановление Правительства Красноярского края "Об утверждении Правил формирования, предоставления и распределения субсидий из краевого бюджета бюджетам муниципальных образований Красноярского края" от 30.09.2015 № 495-п
</t>
  </si>
  <si>
    <t>30.09.2015- не установлен</t>
  </si>
  <si>
    <t>Сослашение о предоставлении бюджету гор окр г.Дивногорск Красн кр из краевого бюджета субсидии на капремонт и ремонт автодорог общего пользования местного значения за счет средств дорожного фонда Кр кр</t>
  </si>
  <si>
    <t>гл.9, ст.36 п.1, п.п.6</t>
  </si>
  <si>
    <t>26.11.2025 - не установлен</t>
  </si>
  <si>
    <t>2025-31.12.2026</t>
  </si>
  <si>
    <t>01.01.2008-не установлен</t>
  </si>
  <si>
    <t>Закон Красноярского края от 16.03.2017 №3-502 "Об организации транспортного обслуживания населения в Красноярском крае"</t>
  </si>
  <si>
    <t>16.03.2017 -не установлен</t>
  </si>
  <si>
    <t>Гл.9, ст.36, п.1, п.п.8</t>
  </si>
  <si>
    <t>Постановление адм г.Дивногорска от 10.04.2024 № 59п  "Об утверждении Порядка предоставления субсидий из бюджета города на возмещение недополученных доходов, возникающих в результате небольшой интенсивности пассажиропотоков, организациям, выполняющим перевозки пассажиров автомобильным транспортом по муниципальным маршрутам регулярных пассажирских перевозок "</t>
  </si>
  <si>
    <t>10.04.2024- не установлен</t>
  </si>
  <si>
    <t>Гл.9, ст.36,п.1,п.п.42ст.59</t>
  </si>
  <si>
    <t>от 29.09.2019-не установлен</t>
  </si>
  <si>
    <t>Федеральный закон №185-ФЗ от 21.07.2007 «О Фонде  содействия реформированию жилищно-коммунального хозяйства» (далее Фонд)</t>
  </si>
  <si>
    <t>Постановление Правительства Российской Федерации от 30.12.2017 №1710 «Об утверждении государственной программы «Обеспечение доступным и комфортным жильем и коммунальными услугами граждан Российской Федерации»</t>
  </si>
  <si>
    <t>30.12.2017-не установлен</t>
  </si>
  <si>
    <t>Решение Дивногорского городского Совета депутатов " Об  утверждении Положения об управлении муниципальным жилым фондом в МО город Дивногорск" от 06.04.2006 № 15-88-ГС</t>
  </si>
  <si>
    <t>04.06.2011- не установлен</t>
  </si>
  <si>
    <t>Гл.9, ст.38, п.1, п.п.11</t>
  </si>
  <si>
    <t>соглашение о предоставлении бюджету ГО г.Дивногорск Красн кр из краевого бюджета субсидии на ремонт автомобильных дорог общего пользования местного значения, являющихся подьездами к садоводнеческим,огороднческис некоммерческим товариществам, за счет средств дорожного фонда Красноярского края № 5/с от 25.02.2026-31.12.2026</t>
  </si>
  <si>
    <t>Постановлением Главного государственного санитарного врача РФ от 28.01.2021 № «Об утверждении санитарных правил и норм СанПиН 3.3686-21 «Санитарно-эпидемиологические требования по профилактике инфекционных болезней».</t>
  </si>
  <si>
    <t>28.01.2021- не установлен</t>
  </si>
  <si>
    <t>Гл.9,ст.36,  п.1,п.п.24</t>
  </si>
  <si>
    <t>Гл.9, ст.36, п.1, п.п.26</t>
  </si>
  <si>
    <t>.гл.9, ст.36, п.1, п.п.27</t>
  </si>
  <si>
    <t>гл.9, ст.36 п.1, п.п.27</t>
  </si>
  <si>
    <t>Гл.9,ст.36 п.2, п.п.3</t>
  </si>
  <si>
    <t xml:space="preserve">Постановление администрации города Дивногорска от 04.03.2022 №37п  "Об утверждении Устав МКУ "УСГХ" </t>
  </si>
  <si>
    <t>06.04.2022- не установлен</t>
  </si>
  <si>
    <t>постановление  администрации города Дивногорска от 06.04.2022 № 53п «Об утверждении  Положения об оплате труда работников муниципального казенного 
учреждения «Управление капитального строительства и городского хозяйства»</t>
  </si>
  <si>
    <t xml:space="preserve">Закон Красноярского края от 01.12.2014 N 7-2835
"Об отдельных мерах по обеспечению ограничения платы граждан за коммунальные услуги"
</t>
  </si>
  <si>
    <t>09.03.2019- не установлен</t>
  </si>
  <si>
    <t xml:space="preserve">Закон Красноярского края от 01.12.2014 N 7-2839
"О наделении органов местного самоуправления городских округов, муниципальных округов края отдельными государственными полномочиями Красноярского края по реализации отдельных мер по обеспечению ограничения платы граждан за коммунальные услуги"
</t>
  </si>
  <si>
    <t>01.12.2014 - не установлен</t>
  </si>
  <si>
    <t>Постановление адм г.Дивногорска от 05.06.2024 №61п  "Об утверждении Порядка предоставления субсидии на компенсацию части платы  граждан за коммунальные услугиисполнителям коммунальных услуг на территории ГО город Дивногорск"</t>
  </si>
  <si>
    <t>05.06.2024-  не установлен</t>
  </si>
  <si>
    <t>Постановление администрации города Дивногорска от 30.09.2013 №196-п "Об утверждении положения об оплате труда работников Администрации города Дивногорска, не являющихся лицами замещающими должности муниципальной службы"</t>
  </si>
  <si>
    <t>от 30.09.2013-не установлен</t>
  </si>
  <si>
    <t>Постановление администрации города Дивногорска от 30.09.2013 №197-п "Об утверждении положения об оплате труда работников Финансового управления администрации города Дивногорска, не являющихся лицами замещающими должности муниципальной службы"</t>
  </si>
  <si>
    <t>Решение Дивногорского городского Совета депутатов администрации города Дивногорска от 30.03.2013г. №141р "Положение о новой системе оплаты труда водителю"</t>
  </si>
  <si>
    <t>от 30.03.2013г</t>
  </si>
  <si>
    <t>Решение Дивногоского городского Совета депПостановление №915п от 14.12.2010 "Об утверждении порядка создания, реорганизации, изменения типа и ликвидацииПостановление администрации г.Дивногорска от 08.11.2021 №177п "О создании мку "Управление закупками г.Дивногорска"</t>
  </si>
  <si>
    <t>14.12.2010-не установлен</t>
  </si>
  <si>
    <t>Постановление Администрации города Дивногорска от19.01.2022г.   № 12п "Об утверждении Положения об оплате труда работников мку "управление закупками г.Дивногорска"</t>
  </si>
  <si>
    <t>от19.01.2022г.-не установлен</t>
  </si>
  <si>
    <t>Гл.9, п.2,п.п.8</t>
  </si>
  <si>
    <t>Устав городского округа город Дивногорск Красноярского края от 26/11/2025 №3-7-нпа</t>
  </si>
  <si>
    <t>Гл.11, ст.59 в целом</t>
  </si>
  <si>
    <t>от 29 апреля 2006-не установлен</t>
  </si>
  <si>
    <t>от 23.05.2012-не установлен</t>
  </si>
  <si>
    <t>от 10.09.2014</t>
  </si>
  <si>
    <t>от 09.04.2012 -не установлен</t>
  </si>
  <si>
    <t>в елом</t>
  </si>
  <si>
    <t>от 01.02.2010-не установлен</t>
  </si>
  <si>
    <t>Закон Красноярского края от 24.12.2009 № 9-4225 "О наделении органов местного самоуправления отдельных муниципальных районов и городских округов края государственными полномочиями по обеспечению жилыми помещениями детей-сирот и детей, оставшихся без попеч</t>
  </si>
  <si>
    <t>от 24.12.2009-не установлен</t>
  </si>
  <si>
    <t xml:space="preserve"> 27.03.2012 не установлен</t>
  </si>
  <si>
    <t xml:space="preserve">Закон Красноярского края от 20.12.2007 N 4-1089 "О наделении органов местного самоуправления муниципальных районов и городских округов края государственными полномочиями по организации и осуществлению деятельности по опеке и попечительству в отношении несовершеннолетних".
</t>
  </si>
  <si>
    <t>ст.1 целом</t>
  </si>
  <si>
    <t>02.11.2000-не установлен</t>
  </si>
  <si>
    <t>от 30.12.2017 -yt ecnfyjdkty</t>
  </si>
  <si>
    <t>Федеральный закон от 03.11.2006 №174-ФЗ "Об автономных учреждениях"</t>
  </si>
  <si>
    <t>от 03.11.2006-не ограничен</t>
  </si>
  <si>
    <t>ст. 16, п.1,п.п.20</t>
  </si>
  <si>
    <t>Постановление администрации города Дивногорска Красноярского края от 13.01.2026 №12п "О создании муниципального автономного учреждения "Центр туризма и гостеприимства "Дивногорск"</t>
  </si>
  <si>
    <t>от 13.01.2026-не установлен</t>
  </si>
  <si>
    <t>Постановление администрации города Дивногорска от 18.11.2015 №182п "Об утверждении Порядка формирования муниципального задания в отношении муниципальных учреждений и финансового обеспечения выполнения муниципального задания"</t>
  </si>
  <si>
    <t>от 18.11.2015 -не установлен</t>
  </si>
  <si>
    <t>Постановление Администрации города Дивногорска от 28.12.2024 №245п "Об утверждении Порядка предоставления субсидий субъектам малого и среднего предпринимательства и физическим лицам, применяющим специальный налоговый режим "Налог на профессиональный доход" на возмещение затрат при осуществлении предпринимательской деятельности"</t>
  </si>
  <si>
    <t>Соглашение о предоставлении субсидии бюджетному или автономному учреждению на финансовое обеспечение выполнения МЗ на оказание муниципальных услуг от 12.03.2026 №110-2026-056772</t>
  </si>
  <si>
    <t>от 12.03.2026 -не установлено</t>
  </si>
  <si>
    <t>Соглашение о предоставлении федеральному бюджету или автономному учреждению субсидии в соответствии с абзацем вторым пункта 1 статьи78.1 БК РФ городской округ город Дивногорск от 16.03.2026 №20-2026-168769</t>
  </si>
  <si>
    <t>от 16.03.2026-до 30.12.2026</t>
  </si>
  <si>
    <t>Постановление Администрации города Дивногорска от 28.08.2025 №108п "Об утверждении Порядка использования бюджетных ассигнований резервного фонда администрации города Дивногорска",Постановление Администрации города Дивногорска от 07.04.2026 №68п "О выделении средств из резервного фонда админисьтрации города</t>
  </si>
  <si>
    <t>Соглашение о предоставлении субсидии из бюджета субъекта РФ местному бюджету на предоставление социальных выплат молодым семьям на приобретение (строительство)жилья от 22.01.2026 №04709000-1-2026-001</t>
  </si>
  <si>
    <t>от 22.01.2026 №04709000-1-2026-001-не установлен</t>
  </si>
  <si>
    <t>Соглашение №1-дс от 02.02.2026 "О взаимодействии мин строит и жкх красн.кр. И адм гор окр гДивногорск по реализации в 2026-2028гг гос полномочий по обеспечению жил помещениями детей-сирот… идостигли возраста 23 лел</t>
  </si>
  <si>
    <t>от 02.02.2026 -не установлен</t>
  </si>
  <si>
    <t>Федеральный закон от 13 июля 2020 года № 189-ФЗ «О государственном (муниципальном) социальном заказе на оказание государственных (муниципальных) услуг в социальной сфере»</t>
  </si>
  <si>
    <t xml:space="preserve">часть 3 статьи 6 и часть 5 статьи 7 </t>
  </si>
  <si>
    <t>13.07.20 не установлено</t>
  </si>
  <si>
    <t>от 18.09.2020</t>
  </si>
  <si>
    <t>постановлением Администрации города Дивногорска от 14.06.2023 № 76пО Порядке формирования муниципальных социальных заказов на оказание муниципальных услуг в социальной сфере, отнесенных к полномочиям органов местного самоуправления города Дивногорска, о форме и сроках формирования отчета об их исполнении</t>
  </si>
  <si>
    <t>14.06.2023 не установлено</t>
  </si>
  <si>
    <t>Постановление правительства Красноярского края от 28.12.2021 №969-п "Об утверждении правилпредоставления и методики распределения иных межбюджетных трансфертов из краевого бюджета бюджетам МО Красн кр на реализацию мероприятий по неспецифической профилактике инфекций, передающих иксодовыми клещами, путем организации и проведения акарицидных обработок наиболее посещаемых населением участков территории природных очагов клещевых инфекций</t>
  </si>
  <si>
    <t>от 28.12.2021-не установлен</t>
  </si>
  <si>
    <t xml:space="preserve">Постановление
администрации г. Дивногорска от  № 49п от 15.04.2019 «Об утверждении
Положения о материальном стимулировании деятельности народных
дружинников»
ФЗ «Об участии граждан в охране общественного порядка», </t>
  </si>
  <si>
    <t>от 15.04.2019-не установлен</t>
  </si>
  <si>
    <t>Федеральный закон от 02.04.2014 №44-ФЗ "Об участии граждан в охране общественного порядка"</t>
  </si>
  <si>
    <t>от 02.04.2014-не установлен</t>
  </si>
  <si>
    <t>Соглашение на подписании в крае</t>
  </si>
  <si>
    <t>Соглашение о предоставлении субсидии местному бюджету из краевого бюджета от 09.02.2026 № 12</t>
  </si>
  <si>
    <t>от 09.02.2026 по 31.12.2026</t>
  </si>
  <si>
    <t>Соглашение на подписании</t>
  </si>
  <si>
    <t>Соглашение о предоставлении бюджету гор окр Дивногорск на софинансирование МП формирование современной городской среды от 23.01.2026 №04709000-1-2026-003</t>
  </si>
  <si>
    <t>от 23.01.2026 -31.12.2026</t>
  </si>
  <si>
    <t>Решение Дивногорского городского суда от 26.07.2024 № 2-92/2024</t>
  </si>
  <si>
    <t>от 26.07.2024-не определен</t>
  </si>
  <si>
    <t>Соглашение о предоставлении субсидии бюджету муниципального образования
Красноярского края на техническое оснащение муниципальных музеев № 04709000-1-2026-010</t>
  </si>
  <si>
    <t>27.01.2026 по 31.12.2026</t>
  </si>
  <si>
    <t>Cоглашение о предоставлении субсидии из бюджета субъекта Российской Федерации
местному бюджету № 04709000-1-2026-011</t>
  </si>
  <si>
    <t>28.01.2026 по 31.12.2026</t>
  </si>
  <si>
    <t>Соглашение о предоставлении иного межбюджетного трансферта из краевого бюджета бюджету Могородского округа город Дивногорск Красноярского края на обеспечение первичных мер пожарной безопасности от 04.02.2026г. № 1ПМ</t>
  </si>
  <si>
    <t>от 04.02.2026</t>
  </si>
  <si>
    <t>Соглашение о предоставлении сукбсидии бюджету МО Красноярского края из краевого бюджета от 16.02.2026 №45</t>
  </si>
  <si>
    <t>от 16.02.2026 до полного исполнения</t>
  </si>
  <si>
    <t>Соглашение о предоставлении субсидии из бюджета субъекта Российской Федерации местному бюджету от 27.01.2026г. № 04709000-1-2026-002</t>
  </si>
  <si>
    <t>от 27.01.2026г до 31.12.2026</t>
  </si>
  <si>
    <t>Соглашение о предоставлении иного межбюджетного трансферта, имеющего целевое назначение из бюджета Красноярского края бюджету городского округа город Дивногорск на оснащение общеобразовательных организаций средствами обучения и воспитания для реализации учебных предметов на 2026 год от 29.01.2026 №04709000-1-2026-013</t>
  </si>
  <si>
    <t>от 29.01.2026 до полного исполнения</t>
  </si>
  <si>
    <t>Соглашение о предоставлении субсидии из бюджета Красноярского края бюджету
городского округа город Дивногорск на приобретение оборудования в целях реализации
мероприятий по модернизации школьных систем образования в 2026-2028 годах от 24.01.2026 №04709000-1-2026-007</t>
  </si>
  <si>
    <t>24.01.2026 по  31.12.2026</t>
  </si>
  <si>
    <t>Соглашение о предоставлении субсидии бюджету гор окр г Дивногорск на соф-е организации и обеспечение бесплатным двухразовым питанием обучающихся с ограниченными возможностями здоровья, вт.ч инвалидами,… на 2026-2028гг от 27.01.2026 №б\н</t>
  </si>
  <si>
    <t xml:space="preserve"> от 27.01.2026 до полного исполнения</t>
  </si>
  <si>
    <t>Соглашение о предоставлении иного межбюджетного трансферта, имеющего целевое
назначение, из бюджета Красноярского края бюджету городского округа города
Дивногорска на обеспечение деятельности советников директоров по воспитанию и
взаимодействию с детскими общественными объединениями в общеобразовательных
организациях на 2026–2028 годы от 23.01.2026 №04709000-1-2026-006</t>
  </si>
  <si>
    <t>от 23.01.2026 до полного исполнения</t>
  </si>
  <si>
    <t>Соглашение о предоставлении субсидии из бюджета Красноярского края бюджету
городского округа города Дивногорск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бесплатным горячим питанием,
предусматривающим наличие горячего блюда, не считая горячего напитка в 2026-2028
годах № 04709000-1-2026-004 от 22.01.2026</t>
  </si>
  <si>
    <t>с 22.01.2026 до полного исполнения</t>
  </si>
  <si>
    <t>Cоглашение о предоставлении бюджету городского округа город Дивногорск Кр.кр субсидии на увеличение охвата детей, обучающихся по дп общеразвивающим программам в 2026 году от 20.02.206 №1</t>
  </si>
  <si>
    <t>от 20.02.2026 до полного исполнения</t>
  </si>
  <si>
    <t>от 25.02.2026-- 31.12.2026</t>
  </si>
  <si>
    <t>Соглашение о предоставлении иного межбюджетного трансферта из краевого бюджета местному бюджету от 13.02.2026 №1ФССП26</t>
  </si>
  <si>
    <t>от 13.02.2026 до полного исполненя</t>
  </si>
  <si>
    <t xml:space="preserve">РРО городской округ город Дивногорск на 01.03.2026г.
</t>
  </si>
  <si>
    <t>Гл.9, ст.36, п.1, п.п.29</t>
  </si>
  <si>
    <t>0701
011000S853/ 612</t>
  </si>
  <si>
    <t>0701
01100S853/622</t>
  </si>
  <si>
    <t>0702
01200S853/612</t>
  </si>
  <si>
    <t>0702
01200S853/622</t>
  </si>
  <si>
    <t>2.1.46.организация и осуществление мероприятий по территориальной обороне и гражданской обороне, защите населения и территории городского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</si>
  <si>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2.1.50.  осуществление мероприятий по обеспечению безопасности людей на водных объектах, охране их жизни и здоровья</t>
  </si>
  <si>
    <r>
      <rPr>
        <b/>
        <sz val="8"/>
        <rFont val="Times New Roman"/>
        <family val="1"/>
        <charset val="204"/>
      </rPr>
      <t>2.4.2.85.1</t>
    </r>
    <r>
      <rPr>
        <sz val="8"/>
        <rFont val="Times New Roman"/>
        <family val="1"/>
        <charset val="204"/>
      </rPr>
      <t>. Установление порядка организации деятельности приютов для животных и норм содержания животных в них, порядка осуществления деятельности по обращению с животными без владельцев, а также организации мероприятий при осуществлении деятельности по обращению с животными без владельцев;.3285.1.0412.1 010,7.325,0.1 010,7"</t>
    </r>
  </si>
</sst>
</file>

<file path=xl/styles.xml><?xml version="1.0" encoding="utf-8"?>
<styleSheet xmlns="http://schemas.openxmlformats.org/spreadsheetml/2006/main">
  <numFmts count="1">
    <numFmt numFmtId="164" formatCode="dd/mm/yy;@"/>
  </numFmts>
  <fonts count="23">
    <font>
      <sz val="11"/>
      <color theme="1"/>
      <name val="Calibri"/>
      <family val="2"/>
      <charset val="204"/>
      <scheme val="minor"/>
    </font>
    <font>
      <sz val="8"/>
      <name val="Times New Roman"/>
      <family val="1"/>
      <charset val="204"/>
    </font>
    <font>
      <b/>
      <sz val="8"/>
      <name val="Times New Roman"/>
      <family val="1"/>
      <charset val="204"/>
    </font>
    <font>
      <sz val="10"/>
      <name val="Arial Cyr"/>
      <charset val="204"/>
    </font>
    <font>
      <sz val="11"/>
      <color theme="1"/>
      <name val="Calibri"/>
      <family val="2"/>
      <scheme val="minor"/>
    </font>
    <font>
      <sz val="8"/>
      <color theme="1"/>
      <name val="Times New Roman"/>
      <family val="1"/>
      <charset val="204"/>
    </font>
    <font>
      <sz val="7"/>
      <name val="Times New Roman"/>
      <family val="1"/>
      <charset val="204"/>
    </font>
    <font>
      <sz val="9"/>
      <name val="Times New Roman"/>
      <family val="1"/>
      <charset val="204"/>
    </font>
    <font>
      <sz val="10"/>
      <name val="Arial"/>
      <family val="2"/>
      <charset val="204"/>
    </font>
    <font>
      <b/>
      <sz val="10"/>
      <name val="Times New Roman"/>
      <family val="1"/>
      <charset val="204"/>
    </font>
    <font>
      <sz val="16"/>
      <name val="Times New Roman"/>
      <family val="1"/>
      <charset val="204"/>
    </font>
    <font>
      <sz val="10"/>
      <name val="Times New Roman"/>
      <family val="1"/>
      <charset val="204"/>
    </font>
    <font>
      <b/>
      <sz val="11"/>
      <name val="Times New Roman"/>
      <family val="1"/>
      <charset val="204"/>
    </font>
    <font>
      <sz val="11"/>
      <name val="Times New Roman"/>
      <family val="1"/>
      <charset val="204"/>
    </font>
    <font>
      <sz val="6"/>
      <name val="Times New Roman"/>
      <family val="1"/>
      <charset val="204"/>
    </font>
    <font>
      <sz val="12"/>
      <name val="Times New Roman"/>
      <family val="1"/>
      <charset val="204"/>
    </font>
    <font>
      <b/>
      <sz val="12"/>
      <name val="Times New Roman"/>
      <family val="1"/>
      <charset val="204"/>
    </font>
    <font>
      <sz val="8"/>
      <color rgb="FF000000"/>
      <name val="Times New Roman"/>
      <family val="1"/>
      <charset val="204"/>
    </font>
    <font>
      <sz val="11"/>
      <color theme="1"/>
      <name val="Times New Roman"/>
      <family val="1"/>
      <charset val="204"/>
    </font>
    <font>
      <sz val="9"/>
      <color rgb="FF000000"/>
      <name val="Times New Roman"/>
      <family val="1"/>
      <charset val="204"/>
    </font>
    <font>
      <b/>
      <sz val="11"/>
      <color theme="1"/>
      <name val="Times New Roman"/>
      <family val="1"/>
      <charset val="204"/>
    </font>
    <font>
      <b/>
      <sz val="8"/>
      <color theme="1"/>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22">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thin">
        <color indexed="64"/>
      </top>
      <bottom/>
      <diagonal/>
    </border>
    <border>
      <left style="medium">
        <color indexed="64"/>
      </left>
      <right/>
      <top style="medium">
        <color indexed="64"/>
      </top>
      <bottom style="medium">
        <color indexed="64"/>
      </bottom>
      <diagonal/>
    </border>
  </borders>
  <cellStyleXfs count="4">
    <xf numFmtId="0" fontId="0" fillId="0" borderId="0"/>
    <xf numFmtId="0" fontId="3" fillId="0" borderId="0"/>
    <xf numFmtId="0" fontId="4" fillId="0" borderId="0"/>
    <xf numFmtId="0" fontId="8" fillId="0" borderId="0"/>
  </cellStyleXfs>
  <cellXfs count="305">
    <xf numFmtId="0" fontId="0" fillId="0" borderId="0" xfId="0"/>
    <xf numFmtId="0" fontId="1" fillId="2" borderId="0" xfId="0" applyFont="1" applyFill="1"/>
    <xf numFmtId="0" fontId="1" fillId="2" borderId="1" xfId="0" applyFont="1" applyFill="1" applyBorder="1" applyAlignment="1">
      <alignment horizontal="center" vertical="center"/>
    </xf>
    <xf numFmtId="0" fontId="1" fillId="2" borderId="1" xfId="0" applyFont="1" applyFill="1" applyBorder="1" applyAlignment="1"/>
    <xf numFmtId="0" fontId="1" fillId="2" borderId="1" xfId="0" applyFont="1" applyFill="1" applyBorder="1"/>
    <xf numFmtId="0" fontId="1" fillId="2" borderId="0" xfId="0" applyFont="1" applyFill="1" applyAlignment="1">
      <alignment horizontal="center" vertical="center"/>
    </xf>
    <xf numFmtId="0" fontId="1" fillId="2" borderId="0" xfId="0" applyFont="1" applyFill="1" applyAlignment="1"/>
    <xf numFmtId="49" fontId="1" fillId="2" borderId="14" xfId="0" applyNumberFormat="1" applyFont="1" applyFill="1" applyBorder="1" applyAlignment="1">
      <alignment horizontal="center" vertical="center" wrapText="1"/>
    </xf>
    <xf numFmtId="0" fontId="2" fillId="2" borderId="6" xfId="0" applyFont="1" applyFill="1" applyBorder="1" applyAlignment="1">
      <alignment horizontal="justify" wrapText="1"/>
    </xf>
    <xf numFmtId="0" fontId="2" fillId="2" borderId="14" xfId="0" applyFont="1" applyFill="1" applyBorder="1" applyAlignment="1">
      <alignment horizontal="center" vertical="center"/>
    </xf>
    <xf numFmtId="0" fontId="1" fillId="2" borderId="2" xfId="0" applyFont="1" applyFill="1" applyBorder="1" applyAlignment="1">
      <alignment horizontal="justify" wrapText="1"/>
    </xf>
    <xf numFmtId="0" fontId="1" fillId="2" borderId="14" xfId="0" applyFont="1" applyFill="1" applyBorder="1" applyAlignment="1"/>
    <xf numFmtId="0" fontId="1" fillId="2" borderId="14" xfId="0" applyFont="1" applyFill="1" applyBorder="1"/>
    <xf numFmtId="0" fontId="1" fillId="2" borderId="15" xfId="0" applyFont="1" applyFill="1" applyBorder="1" applyAlignment="1">
      <alignment horizontal="justify" vertical="top" wrapText="1"/>
    </xf>
    <xf numFmtId="0" fontId="1" fillId="2" borderId="16" xfId="0" applyFont="1" applyFill="1" applyBorder="1" applyAlignment="1">
      <alignment horizontal="justify" vertical="top" wrapText="1"/>
    </xf>
    <xf numFmtId="0" fontId="1" fillId="2" borderId="14" xfId="0" applyFont="1" applyFill="1" applyBorder="1" applyAlignment="1">
      <alignment horizontal="center" vertical="center"/>
    </xf>
    <xf numFmtId="0" fontId="2" fillId="2" borderId="15" xfId="0" applyFont="1" applyFill="1" applyBorder="1" applyAlignment="1">
      <alignment horizontal="justify" vertical="top" wrapText="1"/>
    </xf>
    <xf numFmtId="0" fontId="2" fillId="2" borderId="15" xfId="0" applyFont="1" applyFill="1" applyBorder="1" applyAlignment="1">
      <alignment horizontal="center" wrapText="1"/>
    </xf>
    <xf numFmtId="0" fontId="2" fillId="2" borderId="14" xfId="0" applyFont="1" applyFill="1" applyBorder="1" applyAlignment="1"/>
    <xf numFmtId="0" fontId="2" fillId="2" borderId="14" xfId="0" applyFont="1" applyFill="1" applyBorder="1"/>
    <xf numFmtId="0" fontId="2" fillId="2" borderId="0" xfId="0" applyFont="1" applyFill="1"/>
    <xf numFmtId="0" fontId="1" fillId="2" borderId="17" xfId="0" applyFont="1" applyFill="1" applyBorder="1" applyAlignment="1">
      <alignment horizontal="center" wrapText="1"/>
    </xf>
    <xf numFmtId="0" fontId="1" fillId="2" borderId="14" xfId="0" applyFont="1" applyFill="1" applyBorder="1" applyAlignment="1">
      <alignment horizontal="left" vertical="top" wrapText="1"/>
    </xf>
    <xf numFmtId="0" fontId="1" fillId="2" borderId="14" xfId="0" applyFont="1" applyFill="1" applyBorder="1" applyAlignment="1">
      <alignment wrapText="1"/>
    </xf>
    <xf numFmtId="0" fontId="1" fillId="2" borderId="14" xfId="0" applyFont="1" applyFill="1" applyBorder="1" applyAlignment="1">
      <alignment horizontal="center" wrapText="1"/>
    </xf>
    <xf numFmtId="0" fontId="1" fillId="2" borderId="14" xfId="0" applyFont="1" applyFill="1" applyBorder="1" applyAlignment="1">
      <alignment horizontal="center" vertical="top" wrapText="1"/>
    </xf>
    <xf numFmtId="14" fontId="1" fillId="2" borderId="14" xfId="0" applyNumberFormat="1" applyFont="1" applyFill="1" applyBorder="1" applyAlignment="1">
      <alignment horizontal="center" vertical="top" wrapText="1"/>
    </xf>
    <xf numFmtId="0" fontId="1" fillId="2" borderId="14" xfId="0" applyFont="1" applyFill="1" applyBorder="1" applyAlignment="1">
      <alignment horizontal="left" vertical="top"/>
    </xf>
    <xf numFmtId="0" fontId="1" fillId="2" borderId="15" xfId="0" applyFont="1" applyFill="1" applyBorder="1" applyAlignment="1">
      <alignment horizontal="center" wrapText="1"/>
    </xf>
    <xf numFmtId="0" fontId="1" fillId="2" borderId="14" xfId="0" applyFont="1" applyFill="1" applyBorder="1" applyAlignment="1">
      <alignment vertical="center"/>
    </xf>
    <xf numFmtId="0" fontId="1" fillId="2" borderId="7" xfId="0" applyFont="1" applyFill="1" applyBorder="1"/>
    <xf numFmtId="0" fontId="2" fillId="2" borderId="16" xfId="0" applyFont="1" applyFill="1" applyBorder="1" applyAlignment="1">
      <alignment horizontal="justify" vertical="top" wrapText="1"/>
    </xf>
    <xf numFmtId="0" fontId="2" fillId="2" borderId="16" xfId="0" applyFont="1" applyFill="1" applyBorder="1" applyAlignment="1">
      <alignment horizontal="center" wrapText="1"/>
    </xf>
    <xf numFmtId="0" fontId="2" fillId="2" borderId="7" xfId="0" applyFont="1" applyFill="1" applyBorder="1" applyAlignment="1"/>
    <xf numFmtId="0" fontId="2" fillId="2" borderId="7" xfId="0" applyFont="1" applyFill="1" applyBorder="1"/>
    <xf numFmtId="0" fontId="1" fillId="2" borderId="14" xfId="0" applyFont="1" applyFill="1" applyBorder="1" applyAlignment="1">
      <alignment horizontal="justify" vertical="top" wrapText="1"/>
    </xf>
    <xf numFmtId="0" fontId="1" fillId="2" borderId="0" xfId="0" applyFont="1" applyFill="1" applyBorder="1" applyAlignment="1">
      <alignment horizontal="center" wrapText="1"/>
    </xf>
    <xf numFmtId="0" fontId="1" fillId="2" borderId="13" xfId="0" applyFont="1" applyFill="1" applyBorder="1"/>
    <xf numFmtId="0" fontId="2" fillId="2" borderId="14" xfId="0" applyFont="1" applyFill="1" applyBorder="1" applyAlignment="1">
      <alignment horizontal="center" wrapText="1"/>
    </xf>
    <xf numFmtId="0" fontId="1" fillId="2" borderId="14" xfId="0" applyFont="1" applyFill="1" applyBorder="1" applyAlignment="1">
      <alignment vertical="top" wrapText="1"/>
    </xf>
    <xf numFmtId="49" fontId="1" fillId="2" borderId="14" xfId="0" applyNumberFormat="1" applyFont="1" applyFill="1" applyBorder="1" applyAlignment="1">
      <alignment wrapText="1"/>
    </xf>
    <xf numFmtId="0" fontId="2" fillId="2" borderId="13" xfId="0" applyFont="1" applyFill="1" applyBorder="1" applyAlignment="1"/>
    <xf numFmtId="0" fontId="2" fillId="2" borderId="13" xfId="0" applyFont="1" applyFill="1" applyBorder="1"/>
    <xf numFmtId="0" fontId="2" fillId="2" borderId="13" xfId="0" applyFont="1" applyFill="1" applyBorder="1" applyAlignment="1">
      <alignment horizontal="center" vertical="top" wrapText="1"/>
    </xf>
    <xf numFmtId="14" fontId="1" fillId="2" borderId="14" xfId="0" applyNumberFormat="1" applyFont="1" applyFill="1" applyBorder="1" applyAlignment="1">
      <alignment horizontal="left" vertical="top" wrapText="1"/>
    </xf>
    <xf numFmtId="0" fontId="1" fillId="2" borderId="13" xfId="0" applyFont="1" applyFill="1" applyBorder="1" applyAlignment="1">
      <alignment vertical="top" wrapText="1"/>
    </xf>
    <xf numFmtId="0" fontId="1" fillId="2" borderId="15" xfId="0" applyFont="1" applyFill="1" applyBorder="1" applyAlignment="1">
      <alignment horizontal="justify" wrapText="1"/>
    </xf>
    <xf numFmtId="0" fontId="1" fillId="2" borderId="12" xfId="0" applyFont="1" applyFill="1" applyBorder="1" applyAlignment="1">
      <alignment horizontal="center" vertical="center"/>
    </xf>
    <xf numFmtId="0" fontId="1" fillId="2" borderId="0" xfId="0" applyFont="1" applyFill="1" applyAlignment="1">
      <alignment wrapText="1"/>
    </xf>
    <xf numFmtId="0" fontId="1" fillId="2" borderId="6" xfId="0" applyFont="1" applyFill="1" applyBorder="1" applyAlignment="1">
      <alignment wrapText="1"/>
    </xf>
    <xf numFmtId="0" fontId="1" fillId="2" borderId="7" xfId="0" applyFont="1" applyFill="1" applyBorder="1" applyAlignment="1">
      <alignment horizontal="justify" vertical="top" wrapText="1"/>
    </xf>
    <xf numFmtId="0" fontId="2" fillId="2" borderId="14" xfId="0" applyFont="1" applyFill="1" applyBorder="1" applyAlignment="1">
      <alignment horizontal="justify" vertical="top" wrapText="1"/>
    </xf>
    <xf numFmtId="0" fontId="2" fillId="2" borderId="6" xfId="0" applyFont="1" applyFill="1" applyBorder="1" applyAlignment="1"/>
    <xf numFmtId="0" fontId="1" fillId="2" borderId="4" xfId="0" applyFont="1" applyFill="1" applyBorder="1" applyAlignment="1">
      <alignment horizontal="center" wrapText="1"/>
    </xf>
    <xf numFmtId="0" fontId="1" fillId="2" borderId="14" xfId="1" applyFont="1" applyFill="1" applyBorder="1" applyAlignment="1">
      <alignment horizontal="center" vertical="top" wrapText="1"/>
    </xf>
    <xf numFmtId="0" fontId="1" fillId="2" borderId="14" xfId="0" applyNumberFormat="1" applyFont="1" applyFill="1" applyBorder="1" applyAlignment="1">
      <alignment horizontal="center" vertical="top" wrapText="1"/>
    </xf>
    <xf numFmtId="0" fontId="2" fillId="2" borderId="17" xfId="0" applyFont="1" applyFill="1" applyBorder="1" applyAlignment="1">
      <alignment horizontal="center" wrapText="1"/>
    </xf>
    <xf numFmtId="0" fontId="1" fillId="2" borderId="14" xfId="0" applyNumberFormat="1" applyFont="1" applyFill="1" applyBorder="1" applyAlignment="1" applyProtection="1">
      <alignment horizontal="center" vertical="top" wrapText="1"/>
    </xf>
    <xf numFmtId="2" fontId="1" fillId="2" borderId="14" xfId="2" applyNumberFormat="1" applyFont="1" applyFill="1" applyBorder="1" applyAlignment="1">
      <alignment horizontal="center" vertical="top" wrapText="1"/>
    </xf>
    <xf numFmtId="14" fontId="1" fillId="2" borderId="14" xfId="0" applyNumberFormat="1" applyFont="1" applyFill="1" applyBorder="1" applyAlignment="1">
      <alignment horizontal="center" vertical="center" wrapText="1"/>
    </xf>
    <xf numFmtId="0" fontId="5" fillId="2" borderId="14" xfId="0" applyFont="1" applyFill="1" applyBorder="1" applyAlignment="1">
      <alignment horizontal="left" vertical="top" wrapText="1"/>
    </xf>
    <xf numFmtId="0" fontId="1" fillId="2" borderId="14" xfId="0" applyNumberFormat="1" applyFont="1" applyFill="1" applyBorder="1" applyAlignment="1">
      <alignment horizontal="center" vertical="center" wrapText="1"/>
    </xf>
    <xf numFmtId="0" fontId="1" fillId="2" borderId="0" xfId="0" applyFont="1" applyFill="1" applyAlignment="1">
      <alignment vertical="top" wrapText="1"/>
    </xf>
    <xf numFmtId="49" fontId="1" fillId="2" borderId="14" xfId="0" applyNumberFormat="1" applyFont="1" applyFill="1" applyBorder="1" applyAlignment="1">
      <alignment horizontal="center" vertical="top" wrapText="1"/>
    </xf>
    <xf numFmtId="0" fontId="2" fillId="2" borderId="14" xfId="0" applyFont="1" applyFill="1" applyBorder="1" applyAlignment="1">
      <alignment wrapText="1"/>
    </xf>
    <xf numFmtId="0" fontId="1" fillId="2" borderId="14" xfId="0" applyNumberFormat="1" applyFont="1" applyFill="1" applyBorder="1" applyAlignment="1">
      <alignment horizontal="left" vertical="top" wrapText="1"/>
    </xf>
    <xf numFmtId="164" fontId="1" fillId="2" borderId="14" xfId="0" applyNumberFormat="1" applyFont="1" applyFill="1" applyBorder="1" applyAlignment="1">
      <alignment horizontal="center" vertical="center" wrapText="1"/>
    </xf>
    <xf numFmtId="0" fontId="6" fillId="2" borderId="14" xfId="0" applyFont="1" applyFill="1" applyBorder="1" applyAlignment="1">
      <alignment horizontal="center" vertical="center" wrapText="1"/>
    </xf>
    <xf numFmtId="0" fontId="7" fillId="2" borderId="14" xfId="0" applyFont="1" applyFill="1" applyBorder="1" applyAlignment="1">
      <alignment horizontal="center" vertical="center" wrapText="1"/>
    </xf>
    <xf numFmtId="49" fontId="6" fillId="2" borderId="14" xfId="0" applyNumberFormat="1" applyFont="1" applyFill="1" applyBorder="1" applyAlignment="1">
      <alignment wrapText="1"/>
    </xf>
    <xf numFmtId="14" fontId="6" fillId="2" borderId="14" xfId="0" applyNumberFormat="1" applyFont="1" applyFill="1" applyBorder="1" applyAlignment="1">
      <alignment horizontal="center" vertical="center" wrapText="1"/>
    </xf>
    <xf numFmtId="0" fontId="2" fillId="2" borderId="14" xfId="0" applyFont="1" applyFill="1" applyBorder="1" applyAlignment="1">
      <alignment horizontal="center" vertical="top" wrapText="1"/>
    </xf>
    <xf numFmtId="0" fontId="2" fillId="2" borderId="0" xfId="0" applyFont="1" applyFill="1" applyBorder="1" applyAlignment="1">
      <alignment horizontal="justify" vertical="top" wrapText="1"/>
    </xf>
    <xf numFmtId="0" fontId="2" fillId="2" borderId="0" xfId="0" applyFont="1" applyFill="1" applyBorder="1" applyAlignment="1">
      <alignment horizontal="center" wrapText="1"/>
    </xf>
    <xf numFmtId="0" fontId="1" fillId="2" borderId="0" xfId="0" applyFont="1" applyFill="1" applyBorder="1" applyAlignment="1">
      <alignment horizontal="justify" vertical="top" wrapText="1"/>
    </xf>
    <xf numFmtId="0" fontId="2" fillId="2" borderId="6" xfId="0" applyFont="1" applyFill="1" applyBorder="1" applyAlignment="1">
      <alignment horizontal="justify" vertical="top" wrapText="1"/>
    </xf>
    <xf numFmtId="0" fontId="2" fillId="2" borderId="13" xfId="0" applyFont="1" applyFill="1" applyBorder="1" applyAlignment="1">
      <alignment horizontal="center" vertical="center"/>
    </xf>
    <xf numFmtId="0" fontId="1" fillId="2" borderId="6" xfId="0" applyFont="1" applyFill="1" applyBorder="1" applyAlignment="1">
      <alignment horizontal="justify" wrapText="1"/>
    </xf>
    <xf numFmtId="0" fontId="1" fillId="2" borderId="4" xfId="0" applyFont="1" applyFill="1" applyBorder="1" applyAlignment="1">
      <alignment horizontal="center" vertical="center"/>
    </xf>
    <xf numFmtId="0" fontId="1" fillId="2" borderId="0" xfId="0" applyFont="1" applyFill="1" applyBorder="1" applyAlignment="1">
      <alignment horizontal="justify" wrapText="1"/>
    </xf>
    <xf numFmtId="0" fontId="1" fillId="2" borderId="14" xfId="0" applyFont="1" applyFill="1" applyBorder="1" applyAlignment="1">
      <alignment horizontal="justify" wrapText="1"/>
    </xf>
    <xf numFmtId="0" fontId="1" fillId="2" borderId="13" xfId="0" applyFont="1" applyFill="1" applyBorder="1" applyAlignment="1">
      <alignment vertical="center" wrapText="1"/>
    </xf>
    <xf numFmtId="0" fontId="2" fillId="2" borderId="13" xfId="0" applyFont="1" applyFill="1" applyBorder="1" applyAlignment="1">
      <alignment horizontal="justify" vertical="top" wrapText="1"/>
    </xf>
    <xf numFmtId="0" fontId="2" fillId="2" borderId="1" xfId="0" applyFont="1" applyFill="1" applyBorder="1" applyAlignment="1">
      <alignment horizontal="center" vertical="center"/>
    </xf>
    <xf numFmtId="0" fontId="2" fillId="2" borderId="13" xfId="0" applyFont="1" applyFill="1" applyBorder="1" applyAlignment="1">
      <alignment horizontal="distributed" vertical="center"/>
    </xf>
    <xf numFmtId="0" fontId="2" fillId="2" borderId="13" xfId="0" applyFont="1" applyFill="1" applyBorder="1" applyAlignment="1">
      <alignment vertical="center" wrapText="1"/>
    </xf>
    <xf numFmtId="0" fontId="1" fillId="2" borderId="17" xfId="0" applyFont="1" applyFill="1" applyBorder="1" applyAlignment="1">
      <alignment horizontal="justify" wrapText="1"/>
    </xf>
    <xf numFmtId="0" fontId="1" fillId="2" borderId="11" xfId="0" applyFont="1" applyFill="1" applyBorder="1" applyAlignment="1">
      <alignment vertical="center" wrapText="1"/>
    </xf>
    <xf numFmtId="0" fontId="2" fillId="2" borderId="13" xfId="0" applyFont="1" applyFill="1" applyBorder="1" applyAlignment="1">
      <alignment vertical="center"/>
    </xf>
    <xf numFmtId="0" fontId="2" fillId="2" borderId="13" xfId="0" applyFont="1" applyFill="1" applyBorder="1" applyAlignment="1">
      <alignment horizontal="center" vertical="center" wrapText="1"/>
    </xf>
    <xf numFmtId="0" fontId="2" fillId="2" borderId="11" xfId="0" applyFont="1" applyFill="1" applyBorder="1" applyAlignment="1">
      <alignment vertical="center" wrapText="1"/>
    </xf>
    <xf numFmtId="0" fontId="2" fillId="2" borderId="0" xfId="0" applyFont="1" applyFill="1" applyBorder="1" applyAlignment="1">
      <alignment horizontal="center" vertical="center"/>
    </xf>
    <xf numFmtId="0" fontId="1" fillId="2" borderId="13" xfId="0" applyFont="1" applyFill="1" applyBorder="1" applyAlignment="1">
      <alignment horizontal="justify" vertical="top" wrapText="1"/>
    </xf>
    <xf numFmtId="0" fontId="1" fillId="2" borderId="14" xfId="0" applyFont="1" applyFill="1" applyBorder="1" applyAlignment="1">
      <alignment vertical="justify" wrapText="1"/>
    </xf>
    <xf numFmtId="0" fontId="1" fillId="2" borderId="0" xfId="3" applyFont="1" applyFill="1" applyBorder="1" applyAlignment="1">
      <alignment horizontal="center" vertical="top" wrapText="1"/>
    </xf>
    <xf numFmtId="0" fontId="2" fillId="2" borderId="14" xfId="0" applyFont="1" applyFill="1" applyBorder="1" applyAlignment="1">
      <alignment vertical="top" wrapText="1"/>
    </xf>
    <xf numFmtId="0" fontId="2" fillId="2" borderId="4" xfId="0" applyFont="1" applyFill="1" applyBorder="1" applyAlignment="1">
      <alignment horizontal="center" vertical="center"/>
    </xf>
    <xf numFmtId="0" fontId="2" fillId="2" borderId="6" xfId="0" applyFont="1" applyFill="1" applyBorder="1"/>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6" xfId="0" applyFont="1" applyFill="1" applyBorder="1" applyAlignment="1">
      <alignment wrapText="1"/>
    </xf>
    <xf numFmtId="0" fontId="2" fillId="2" borderId="11" xfId="0" applyFont="1" applyFill="1" applyBorder="1" applyAlignment="1">
      <alignment horizontal="justify" vertical="top" wrapText="1"/>
    </xf>
    <xf numFmtId="0" fontId="2" fillId="2" borderId="6"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6" xfId="0" applyFont="1" applyFill="1" applyBorder="1"/>
    <xf numFmtId="0" fontId="2" fillId="2" borderId="2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xf numFmtId="164" fontId="1" fillId="2" borderId="14" xfId="0" applyNumberFormat="1" applyFont="1" applyFill="1" applyBorder="1" applyAlignment="1">
      <alignment horizontal="center" vertical="top" wrapText="1"/>
    </xf>
    <xf numFmtId="0" fontId="1"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1" fillId="2" borderId="11" xfId="0" applyFont="1" applyFill="1" applyBorder="1" applyAlignment="1">
      <alignment horizontal="justify" wrapText="1"/>
    </xf>
    <xf numFmtId="0" fontId="1" fillId="2" borderId="12" xfId="0" applyFont="1" applyFill="1" applyBorder="1" applyAlignment="1">
      <alignment vertical="top" wrapText="1"/>
    </xf>
    <xf numFmtId="0" fontId="1" fillId="2" borderId="11" xfId="0" applyFont="1" applyFill="1" applyBorder="1" applyAlignment="1">
      <alignment horizontal="center" vertical="center"/>
    </xf>
    <xf numFmtId="0" fontId="1" fillId="2" borderId="8" xfId="0" applyFont="1" applyFill="1" applyBorder="1" applyAlignment="1">
      <alignment horizontal="justify" wrapText="1"/>
    </xf>
    <xf numFmtId="0" fontId="1" fillId="2" borderId="3" xfId="0" applyFont="1" applyFill="1" applyBorder="1" applyAlignment="1">
      <alignment horizontal="center" vertical="center"/>
    </xf>
    <xf numFmtId="0" fontId="1" fillId="2" borderId="6" xfId="0" applyFont="1" applyFill="1" applyBorder="1" applyAlignment="1">
      <alignment vertical="top" wrapText="1"/>
    </xf>
    <xf numFmtId="0" fontId="1" fillId="2" borderId="2" xfId="0" applyFont="1" applyFill="1" applyBorder="1" applyAlignment="1">
      <alignment vertical="top" wrapText="1"/>
    </xf>
    <xf numFmtId="0" fontId="1" fillId="2" borderId="11" xfId="0" applyFont="1" applyFill="1" applyBorder="1" applyAlignment="1">
      <alignment vertical="top" wrapText="1"/>
    </xf>
    <xf numFmtId="0" fontId="1" fillId="2" borderId="0" xfId="0" applyFont="1" applyFill="1" applyBorder="1" applyAlignment="1">
      <alignment horizontal="center" vertical="center"/>
    </xf>
    <xf numFmtId="0" fontId="1" fillId="2" borderId="14" xfId="2" applyFont="1" applyFill="1" applyBorder="1" applyAlignment="1">
      <alignment horizontal="center" vertical="top" wrapText="1"/>
    </xf>
    <xf numFmtId="0" fontId="1" fillId="2" borderId="9" xfId="0" applyFont="1" applyFill="1" applyBorder="1" applyAlignment="1">
      <alignment horizontal="center" vertical="center"/>
    </xf>
    <xf numFmtId="0" fontId="1" fillId="2" borderId="14" xfId="0" applyFont="1" applyFill="1" applyBorder="1" applyAlignment="1">
      <alignment wrapText="1" shrinkToFit="1"/>
    </xf>
    <xf numFmtId="14" fontId="1" fillId="2" borderId="14" xfId="0" applyNumberFormat="1" applyFont="1" applyFill="1" applyBorder="1" applyAlignment="1">
      <alignment wrapText="1" shrinkToFit="1"/>
    </xf>
    <xf numFmtId="0" fontId="1" fillId="2" borderId="2" xfId="0" applyFont="1" applyFill="1" applyBorder="1" applyAlignment="1">
      <alignment horizontal="left" vertical="top" wrapText="1"/>
    </xf>
    <xf numFmtId="0" fontId="1" fillId="2" borderId="17" xfId="0" applyFont="1" applyFill="1" applyBorder="1" applyAlignment="1">
      <alignment horizontal="justify" vertical="top" wrapText="1"/>
    </xf>
    <xf numFmtId="0" fontId="2" fillId="2" borderId="3" xfId="0" applyFont="1" applyFill="1" applyBorder="1" applyAlignment="1">
      <alignment horizontal="center" wrapText="1"/>
    </xf>
    <xf numFmtId="0" fontId="1" fillId="2" borderId="12" xfId="0" applyFont="1" applyFill="1" applyBorder="1" applyAlignment="1">
      <alignment horizontal="center" wrapText="1"/>
    </xf>
    <xf numFmtId="0" fontId="2" fillId="2" borderId="12" xfId="0" applyFont="1" applyFill="1" applyBorder="1" applyAlignment="1">
      <alignment horizontal="center" wrapText="1"/>
    </xf>
    <xf numFmtId="0" fontId="2" fillId="2" borderId="11" xfId="0" applyFont="1" applyFill="1" applyBorder="1" applyAlignment="1">
      <alignment horizontal="justify" wrapText="1"/>
    </xf>
    <xf numFmtId="0" fontId="2" fillId="2" borderId="2" xfId="0" applyFont="1" applyFill="1" applyBorder="1" applyAlignment="1">
      <alignment horizontal="justify" wrapText="1"/>
    </xf>
    <xf numFmtId="0" fontId="2" fillId="2" borderId="7" xfId="0" applyFont="1" applyFill="1" applyBorder="1" applyAlignment="1">
      <alignment horizontal="center" vertical="center"/>
    </xf>
    <xf numFmtId="0" fontId="2" fillId="2" borderId="20" xfId="0" applyFont="1" applyFill="1" applyBorder="1" applyAlignment="1">
      <alignment horizontal="justify" wrapText="1"/>
    </xf>
    <xf numFmtId="0" fontId="2" fillId="2" borderId="0" xfId="0" applyFont="1" applyFill="1" applyBorder="1" applyAlignment="1">
      <alignment horizontal="justify" wrapText="1"/>
    </xf>
    <xf numFmtId="2" fontId="1" fillId="2" borderId="0" xfId="0" applyNumberFormat="1" applyFont="1" applyFill="1" applyBorder="1"/>
    <xf numFmtId="0" fontId="1" fillId="2" borderId="0" xfId="0" applyFont="1" applyFill="1" applyBorder="1" applyAlignment="1"/>
    <xf numFmtId="0" fontId="1" fillId="2" borderId="0" xfId="0" applyFont="1" applyFill="1" applyBorder="1"/>
    <xf numFmtId="0" fontId="1" fillId="2" borderId="0" xfId="0" applyFont="1" applyFill="1" applyAlignment="1">
      <alignment horizontal="justify" wrapText="1"/>
    </xf>
    <xf numFmtId="0" fontId="1" fillId="2" borderId="0" xfId="0" applyFont="1" applyFill="1" applyBorder="1" applyAlignment="1">
      <alignment horizontal="justify"/>
    </xf>
    <xf numFmtId="0" fontId="2" fillId="2" borderId="0" xfId="0" applyFont="1" applyFill="1" applyBorder="1"/>
    <xf numFmtId="14" fontId="1" fillId="2" borderId="13" xfId="0" applyNumberFormat="1" applyFont="1" applyFill="1" applyBorder="1" applyAlignment="1">
      <alignment vertical="top" wrapText="1"/>
    </xf>
    <xf numFmtId="14" fontId="14" fillId="2" borderId="14" xfId="0" applyNumberFormat="1" applyFont="1" applyFill="1" applyBorder="1" applyAlignment="1">
      <alignment vertical="top" wrapText="1"/>
    </xf>
    <xf numFmtId="0" fontId="1" fillId="2" borderId="7" xfId="0" applyFont="1" applyFill="1" applyBorder="1" applyAlignment="1"/>
    <xf numFmtId="0" fontId="1" fillId="2" borderId="7" xfId="0" applyFont="1" applyFill="1" applyBorder="1" applyAlignment="1">
      <alignment wrapText="1"/>
    </xf>
    <xf numFmtId="0" fontId="1" fillId="2" borderId="13" xfId="0" applyNumberFormat="1" applyFont="1" applyFill="1" applyBorder="1" applyAlignment="1">
      <alignment horizontal="center" vertical="center" wrapText="1"/>
    </xf>
    <xf numFmtId="0" fontId="1" fillId="2" borderId="7" xfId="0" applyFont="1" applyFill="1" applyBorder="1" applyAlignment="1">
      <alignment horizontal="center" vertical="top" wrapText="1"/>
    </xf>
    <xf numFmtId="0" fontId="1" fillId="2" borderId="10" xfId="0" applyFont="1" applyFill="1" applyBorder="1" applyAlignment="1">
      <alignment wrapText="1"/>
    </xf>
    <xf numFmtId="0" fontId="1" fillId="2" borderId="10" xfId="0" applyFont="1" applyFill="1" applyBorder="1" applyAlignment="1"/>
    <xf numFmtId="0" fontId="1" fillId="2" borderId="13" xfId="0" applyFont="1" applyFill="1" applyBorder="1" applyAlignment="1"/>
    <xf numFmtId="0" fontId="1" fillId="2" borderId="7"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7" xfId="0" applyFont="1" applyFill="1" applyBorder="1" applyAlignment="1">
      <alignment horizontal="left" vertical="top"/>
    </xf>
    <xf numFmtId="0" fontId="1" fillId="2" borderId="7" xfId="0" applyFont="1" applyFill="1" applyBorder="1" applyAlignment="1">
      <alignment vertical="center"/>
    </xf>
    <xf numFmtId="0" fontId="1" fillId="2" borderId="13" xfId="0" applyFont="1" applyFill="1" applyBorder="1" applyAlignment="1">
      <alignment horizontal="center" vertical="top"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8" xfId="0" applyFont="1" applyFill="1" applyBorder="1" applyAlignment="1">
      <alignment horizontal="center" wrapText="1"/>
    </xf>
    <xf numFmtId="0" fontId="1" fillId="2" borderId="19" xfId="0" applyFont="1" applyFill="1" applyBorder="1" applyAlignment="1">
      <alignment horizontal="center" wrapText="1"/>
    </xf>
    <xf numFmtId="0" fontId="1" fillId="2" borderId="8" xfId="0" applyFont="1" applyFill="1" applyBorder="1" applyAlignment="1">
      <alignment horizontal="center" vertical="center" wrapText="1"/>
    </xf>
    <xf numFmtId="14" fontId="1" fillId="2" borderId="7" xfId="0" applyNumberFormat="1" applyFont="1" applyFill="1" applyBorder="1" applyAlignment="1">
      <alignment horizontal="center" vertical="center" wrapText="1"/>
    </xf>
    <xf numFmtId="14" fontId="1" fillId="2" borderId="10" xfId="0" applyNumberFormat="1" applyFont="1" applyFill="1" applyBorder="1" applyAlignment="1">
      <alignment horizontal="center" vertical="center" wrapText="1"/>
    </xf>
    <xf numFmtId="14" fontId="1" fillId="2" borderId="7" xfId="0" applyNumberFormat="1" applyFont="1" applyFill="1" applyBorder="1" applyAlignment="1">
      <alignment horizontal="center" vertical="top" wrapText="1"/>
    </xf>
    <xf numFmtId="49" fontId="2" fillId="2" borderId="20"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top" wrapText="1"/>
    </xf>
    <xf numFmtId="2" fontId="2" fillId="2" borderId="14" xfId="0" applyNumberFormat="1" applyFont="1" applyFill="1" applyBorder="1"/>
    <xf numFmtId="14" fontId="1" fillId="2" borderId="14" xfId="0" applyNumberFormat="1" applyFont="1" applyFill="1" applyBorder="1" applyAlignment="1">
      <alignment vertical="top" wrapText="1"/>
    </xf>
    <xf numFmtId="0" fontId="1" fillId="2" borderId="4" xfId="0" applyFont="1" applyFill="1" applyBorder="1" applyAlignment="1">
      <alignment horizontal="justify" vertical="top" wrapText="1"/>
    </xf>
    <xf numFmtId="0" fontId="17" fillId="2" borderId="0" xfId="0" applyFont="1" applyFill="1" applyAlignment="1">
      <alignment vertical="top" wrapText="1"/>
    </xf>
    <xf numFmtId="0" fontId="1" fillId="2" borderId="0" xfId="0" applyFont="1" applyFill="1" applyAlignment="1">
      <alignment horizontal="left" vertical="top" wrapText="1"/>
    </xf>
    <xf numFmtId="14" fontId="1" fillId="2" borderId="7" xfId="0" applyNumberFormat="1" applyFont="1" applyFill="1" applyBorder="1" applyAlignment="1">
      <alignment vertical="center" wrapText="1"/>
    </xf>
    <xf numFmtId="0" fontId="1" fillId="2" borderId="14" xfId="0" applyFont="1" applyFill="1" applyBorder="1" applyAlignment="1">
      <alignment vertical="top"/>
    </xf>
    <xf numFmtId="0" fontId="1" fillId="2" borderId="13" xfId="0" applyFont="1" applyFill="1" applyBorder="1" applyAlignment="1">
      <alignment vertical="top"/>
    </xf>
    <xf numFmtId="2" fontId="1" fillId="2" borderId="14" xfId="0" applyNumberFormat="1" applyFont="1" applyFill="1" applyBorder="1"/>
    <xf numFmtId="2" fontId="2" fillId="2" borderId="0" xfId="0" applyNumberFormat="1" applyFont="1" applyFill="1" applyBorder="1" applyAlignment="1">
      <alignment wrapText="1"/>
    </xf>
    <xf numFmtId="2" fontId="2" fillId="2" borderId="0" xfId="0" applyNumberFormat="1" applyFont="1" applyFill="1" applyBorder="1"/>
    <xf numFmtId="2" fontId="13" fillId="2" borderId="0" xfId="0" applyNumberFormat="1" applyFont="1" applyFill="1" applyBorder="1" applyAlignment="1">
      <alignment vertical="top" wrapText="1"/>
    </xf>
    <xf numFmtId="0" fontId="15" fillId="2" borderId="0" xfId="0" applyFont="1" applyFill="1"/>
    <xf numFmtId="2" fontId="15" fillId="2" borderId="5" xfId="0" applyNumberFormat="1" applyFont="1" applyFill="1" applyBorder="1"/>
    <xf numFmtId="0" fontId="15" fillId="2" borderId="5" xfId="0" applyFont="1" applyFill="1" applyBorder="1"/>
    <xf numFmtId="0" fontId="15" fillId="2" borderId="6" xfId="0" applyFont="1" applyFill="1" applyBorder="1"/>
    <xf numFmtId="2" fontId="2" fillId="2" borderId="0" xfId="0" applyNumberFormat="1" applyFont="1" applyFill="1"/>
    <xf numFmtId="0" fontId="1" fillId="2" borderId="0" xfId="0" applyFont="1" applyFill="1" applyBorder="1" applyAlignment="1">
      <alignment wrapText="1"/>
    </xf>
    <xf numFmtId="0" fontId="1" fillId="2" borderId="7" xfId="0" applyFont="1" applyFill="1" applyBorder="1" applyAlignment="1">
      <alignment vertical="top" wrapText="1"/>
    </xf>
    <xf numFmtId="0" fontId="1" fillId="2" borderId="13" xfId="0" applyFont="1" applyFill="1" applyBorder="1" applyAlignment="1">
      <alignment wrapText="1"/>
    </xf>
    <xf numFmtId="0" fontId="1" fillId="2" borderId="2" xfId="0"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1" fillId="2" borderId="7" xfId="0" applyFont="1" applyFill="1" applyBorder="1" applyAlignment="1">
      <alignment horizontal="center" wrapText="1"/>
    </xf>
    <xf numFmtId="0" fontId="1" fillId="2" borderId="13" xfId="0" applyFont="1" applyFill="1" applyBorder="1" applyAlignment="1">
      <alignment horizontal="center" wrapTex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7" xfId="0" applyNumberFormat="1" applyFont="1" applyFill="1" applyBorder="1" applyAlignment="1">
      <alignment horizontal="center" vertical="top" wrapText="1"/>
    </xf>
    <xf numFmtId="0" fontId="1" fillId="2" borderId="7" xfId="0" applyFont="1" applyFill="1" applyBorder="1" applyAlignment="1">
      <alignment horizontal="left" vertical="top" wrapText="1"/>
    </xf>
    <xf numFmtId="0" fontId="1" fillId="2" borderId="14" xfId="0"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0" fontId="1" fillId="2" borderId="13" xfId="0" applyFont="1" applyFill="1" applyBorder="1" applyAlignment="1">
      <alignment horizontal="left" vertical="top" wrapText="1"/>
    </xf>
    <xf numFmtId="0" fontId="1" fillId="2" borderId="14" xfId="0" applyFont="1" applyFill="1" applyBorder="1" applyAlignment="1">
      <alignment vertical="center" wrapText="1"/>
    </xf>
    <xf numFmtId="49" fontId="1" fillId="2" borderId="10" xfId="0" applyNumberFormat="1" applyFont="1" applyFill="1" applyBorder="1" applyAlignment="1">
      <alignment horizontal="center" vertical="top" wrapText="1"/>
    </xf>
    <xf numFmtId="49" fontId="1" fillId="2" borderId="13" xfId="0" applyNumberFormat="1" applyFont="1" applyFill="1" applyBorder="1" applyAlignment="1">
      <alignment horizontal="center" vertical="top" wrapText="1"/>
    </xf>
    <xf numFmtId="0" fontId="1" fillId="2" borderId="16" xfId="0" applyFont="1" applyFill="1" applyBorder="1" applyAlignment="1">
      <alignment horizontal="center" wrapText="1"/>
    </xf>
    <xf numFmtId="0" fontId="2" fillId="2" borderId="14" xfId="0" applyFont="1" applyFill="1" applyBorder="1" applyAlignment="1">
      <alignment vertical="center" wrapText="1"/>
    </xf>
    <xf numFmtId="0" fontId="1" fillId="2" borderId="14" xfId="0" applyFont="1" applyFill="1" applyBorder="1" applyAlignment="1">
      <alignment horizontal="distributed" vertical="center"/>
    </xf>
    <xf numFmtId="0" fontId="1" fillId="2" borderId="14" xfId="0" applyNumberFormat="1" applyFont="1" applyFill="1" applyBorder="1" applyAlignment="1">
      <alignment vertical="center" wrapText="1"/>
    </xf>
    <xf numFmtId="14" fontId="1" fillId="2" borderId="14" xfId="0" applyNumberFormat="1" applyFont="1" applyFill="1" applyBorder="1" applyAlignment="1">
      <alignment vertical="center" wrapText="1"/>
    </xf>
    <xf numFmtId="0" fontId="18" fillId="2" borderId="0" xfId="0" applyFont="1" applyFill="1"/>
    <xf numFmtId="0" fontId="18" fillId="2" borderId="5" xfId="0" applyFont="1" applyFill="1" applyBorder="1"/>
    <xf numFmtId="0" fontId="18" fillId="2" borderId="6" xfId="0" applyFont="1" applyFill="1" applyBorder="1"/>
    <xf numFmtId="0" fontId="13" fillId="2" borderId="14" xfId="0" applyFont="1" applyFill="1" applyBorder="1"/>
    <xf numFmtId="0" fontId="13" fillId="2" borderId="13" xfId="0" applyFont="1" applyFill="1" applyBorder="1" applyAlignment="1">
      <alignment vertical="top"/>
    </xf>
    <xf numFmtId="0" fontId="13" fillId="2" borderId="13" xfId="0" applyFont="1" applyFill="1" applyBorder="1" applyAlignment="1"/>
    <xf numFmtId="0" fontId="5" fillId="2" borderId="13" xfId="0" applyFont="1" applyFill="1" applyBorder="1" applyAlignment="1">
      <alignment vertical="top" wrapText="1"/>
    </xf>
    <xf numFmtId="0" fontId="5" fillId="2" borderId="13" xfId="0" applyFont="1" applyFill="1" applyBorder="1" applyAlignment="1"/>
    <xf numFmtId="0" fontId="5" fillId="2" borderId="13" xfId="0" applyFont="1" applyFill="1" applyBorder="1" applyAlignment="1">
      <alignment wrapText="1"/>
    </xf>
    <xf numFmtId="14" fontId="1" fillId="2" borderId="14" xfId="0" applyNumberFormat="1" applyFont="1" applyFill="1" applyBorder="1" applyAlignment="1">
      <alignment wrapText="1"/>
    </xf>
    <xf numFmtId="0" fontId="19" fillId="2" borderId="14" xfId="0" applyFont="1" applyFill="1" applyBorder="1" applyAlignment="1">
      <alignment wrapText="1"/>
    </xf>
    <xf numFmtId="0" fontId="5" fillId="2" borderId="14" xfId="0" applyFont="1" applyFill="1" applyBorder="1" applyAlignment="1">
      <alignment vertical="top" wrapText="1"/>
    </xf>
    <xf numFmtId="14" fontId="2" fillId="2" borderId="14" xfId="0" applyNumberFormat="1" applyFont="1" applyFill="1" applyBorder="1" applyAlignment="1">
      <alignment horizontal="center" vertical="top" wrapText="1"/>
    </xf>
    <xf numFmtId="0" fontId="20" fillId="2" borderId="0" xfId="0" applyFont="1" applyFill="1"/>
    <xf numFmtId="14" fontId="1" fillId="2" borderId="0" xfId="0" applyNumberFormat="1" applyFont="1" applyFill="1" applyAlignment="1">
      <alignment vertical="top" wrapText="1"/>
    </xf>
    <xf numFmtId="0" fontId="18" fillId="2" borderId="14" xfId="0" applyFont="1" applyFill="1" applyBorder="1" applyAlignment="1">
      <alignment horizontal="center" vertical="center" wrapText="1"/>
    </xf>
    <xf numFmtId="0" fontId="13" fillId="2" borderId="14" xfId="0" applyFont="1" applyFill="1" applyBorder="1" applyAlignment="1">
      <alignment vertical="top" wrapText="1"/>
    </xf>
    <xf numFmtId="0" fontId="13" fillId="2" borderId="14" xfId="0" applyFont="1" applyFill="1" applyBorder="1" applyAlignment="1"/>
    <xf numFmtId="14" fontId="1" fillId="2" borderId="14" xfId="0" applyNumberFormat="1" applyFont="1" applyFill="1" applyBorder="1" applyAlignment="1">
      <alignment horizontal="center" vertical="center"/>
    </xf>
    <xf numFmtId="0" fontId="13" fillId="2" borderId="14" xfId="0" applyFont="1" applyFill="1" applyBorder="1" applyAlignment="1">
      <alignment wrapText="1"/>
    </xf>
    <xf numFmtId="0" fontId="13" fillId="2" borderId="10" xfId="0" applyFont="1" applyFill="1" applyBorder="1" applyAlignment="1"/>
    <xf numFmtId="14" fontId="11" fillId="2" borderId="14" xfId="0" applyNumberFormat="1" applyFont="1" applyFill="1" applyBorder="1" applyAlignment="1">
      <alignment horizontal="center" vertical="center"/>
    </xf>
    <xf numFmtId="0" fontId="5" fillId="2" borderId="14" xfId="0" applyFont="1" applyFill="1" applyBorder="1" applyAlignment="1">
      <alignment wrapText="1"/>
    </xf>
    <xf numFmtId="0" fontId="13" fillId="2" borderId="10" xfId="0" applyFont="1" applyFill="1" applyBorder="1" applyAlignment="1">
      <alignment horizontal="center" vertical="center"/>
    </xf>
    <xf numFmtId="14" fontId="1" fillId="2" borderId="13" xfId="0" applyNumberFormat="1" applyFont="1" applyFill="1" applyBorder="1" applyAlignment="1">
      <alignment wrapText="1"/>
    </xf>
    <xf numFmtId="0" fontId="13" fillId="2" borderId="10" xfId="0" applyFont="1" applyFill="1" applyBorder="1" applyAlignment="1">
      <alignment horizontal="center" vertical="center" wrapText="1"/>
    </xf>
    <xf numFmtId="0" fontId="2" fillId="2" borderId="21" xfId="0" applyFont="1" applyFill="1" applyBorder="1" applyAlignment="1">
      <alignment vertical="top" wrapText="1" readingOrder="1"/>
    </xf>
    <xf numFmtId="0" fontId="13" fillId="2" borderId="0" xfId="0" applyFont="1" applyFill="1"/>
    <xf numFmtId="0" fontId="18" fillId="2" borderId="14" xfId="0" applyFont="1" applyFill="1" applyBorder="1"/>
    <xf numFmtId="0" fontId="18" fillId="2" borderId="14" xfId="0" applyFont="1" applyFill="1" applyBorder="1" applyAlignment="1">
      <alignment horizontal="center" vertical="top" wrapText="1"/>
    </xf>
    <xf numFmtId="0" fontId="18" fillId="2" borderId="14" xfId="0" applyFont="1" applyFill="1" applyBorder="1" applyAlignment="1"/>
    <xf numFmtId="0" fontId="13" fillId="2" borderId="13" xfId="0" applyFont="1" applyFill="1" applyBorder="1" applyAlignment="1">
      <alignment vertical="top" wrapText="1"/>
    </xf>
    <xf numFmtId="0" fontId="13" fillId="2" borderId="0" xfId="0" applyFont="1" applyFill="1" applyBorder="1" applyAlignment="1"/>
    <xf numFmtId="0" fontId="18" fillId="2" borderId="0" xfId="0" applyFont="1" applyFill="1" applyBorder="1" applyAlignment="1"/>
    <xf numFmtId="2" fontId="21" fillId="2" borderId="0" xfId="0" applyNumberFormat="1" applyFont="1" applyFill="1" applyBorder="1" applyAlignment="1"/>
    <xf numFmtId="0" fontId="21" fillId="2" borderId="0" xfId="0" applyFont="1" applyFill="1" applyBorder="1" applyAlignment="1"/>
    <xf numFmtId="4" fontId="1" fillId="2" borderId="14" xfId="0" applyNumberFormat="1" applyFont="1" applyFill="1" applyBorder="1" applyAlignment="1">
      <alignment wrapText="1"/>
    </xf>
    <xf numFmtId="0" fontId="1" fillId="2" borderId="14" xfId="0" applyNumberFormat="1" applyFont="1" applyFill="1" applyBorder="1" applyAlignment="1">
      <alignment wrapText="1"/>
    </xf>
    <xf numFmtId="0" fontId="2" fillId="2" borderId="7" xfId="0" applyFont="1" applyFill="1" applyBorder="1" applyAlignment="1">
      <alignment wrapText="1"/>
    </xf>
    <xf numFmtId="0" fontId="1" fillId="2" borderId="2" xfId="0" applyFont="1" applyFill="1" applyBorder="1" applyAlignment="1">
      <alignment wrapText="1"/>
    </xf>
    <xf numFmtId="0" fontId="1" fillId="2" borderId="6" xfId="0" applyFont="1" applyFill="1" applyBorder="1" applyAlignment="1">
      <alignment vertical="center" wrapText="1"/>
    </xf>
    <xf numFmtId="0" fontId="1" fillId="2" borderId="11" xfId="0" applyFont="1" applyFill="1" applyBorder="1" applyAlignment="1">
      <alignment wrapText="1"/>
    </xf>
    <xf numFmtId="0" fontId="2" fillId="2" borderId="2" xfId="0" applyFont="1" applyFill="1" applyBorder="1" applyAlignment="1">
      <alignment horizontal="center" vertical="center"/>
    </xf>
    <xf numFmtId="0" fontId="16" fillId="2" borderId="4" xfId="0" applyFont="1" applyFill="1" applyBorder="1"/>
    <xf numFmtId="0" fontId="10" fillId="2" borderId="0" xfId="0" applyFont="1" applyFill="1" applyBorder="1" applyAlignment="1">
      <alignment wrapText="1"/>
    </xf>
    <xf numFmtId="0" fontId="11" fillId="2" borderId="0" xfId="0" applyFont="1" applyFill="1" applyBorder="1" applyAlignment="1">
      <alignment wrapText="1"/>
    </xf>
    <xf numFmtId="49" fontId="1" fillId="2" borderId="7" xfId="0" applyNumberFormat="1"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11"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8" fillId="2" borderId="9" xfId="0" applyFont="1" applyFill="1" applyBorder="1" applyAlignment="1">
      <alignment horizontal="center" vertical="center"/>
    </xf>
    <xf numFmtId="0" fontId="18" fillId="2" borderId="12" xfId="0" applyFont="1" applyFill="1" applyBorder="1" applyAlignment="1">
      <alignment horizontal="center" vertical="center"/>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 fillId="2" borderId="7" xfId="0" applyFont="1" applyFill="1" applyBorder="1" applyAlignment="1">
      <alignment horizontal="center" vertical="top" wrapText="1"/>
    </xf>
    <xf numFmtId="0" fontId="1" fillId="2" borderId="10" xfId="0" applyFont="1" applyFill="1" applyBorder="1" applyAlignment="1">
      <alignment horizontal="center" vertical="top" wrapText="1"/>
    </xf>
    <xf numFmtId="0" fontId="18" fillId="2" borderId="10" xfId="0" applyFont="1" applyFill="1" applyBorder="1" applyAlignment="1">
      <alignment horizontal="center" wrapText="1"/>
    </xf>
    <xf numFmtId="0" fontId="18" fillId="2" borderId="13" xfId="0" applyFont="1" applyFill="1" applyBorder="1" applyAlignment="1">
      <alignment horizontal="center" wrapText="1"/>
    </xf>
    <xf numFmtId="0" fontId="18" fillId="2" borderId="10" xfId="0" applyFont="1" applyFill="1" applyBorder="1" applyAlignment="1">
      <alignment horizontal="center" vertical="top" wrapText="1"/>
    </xf>
    <xf numFmtId="0" fontId="18" fillId="2" borderId="13" xfId="0" applyFont="1" applyFill="1" applyBorder="1" applyAlignment="1">
      <alignment horizontal="center" vertical="top" wrapText="1"/>
    </xf>
    <xf numFmtId="14" fontId="1" fillId="2" borderId="7" xfId="0" applyNumberFormat="1" applyFont="1" applyFill="1" applyBorder="1" applyAlignment="1">
      <alignment horizontal="center" vertical="top" wrapText="1"/>
    </xf>
    <xf numFmtId="14" fontId="1" fillId="2" borderId="10" xfId="0" applyNumberFormat="1" applyFont="1" applyFill="1" applyBorder="1" applyAlignment="1">
      <alignment horizontal="center" vertical="top" wrapText="1"/>
    </xf>
    <xf numFmtId="0" fontId="1" fillId="2" borderId="7" xfId="0" applyFont="1" applyFill="1" applyBorder="1" applyAlignment="1">
      <alignment horizontal="left" vertical="top" wrapText="1"/>
    </xf>
    <xf numFmtId="0" fontId="1" fillId="2" borderId="13" xfId="0" applyFont="1" applyFill="1" applyBorder="1" applyAlignment="1">
      <alignment horizontal="left" vertical="top" wrapText="1"/>
    </xf>
    <xf numFmtId="14" fontId="1" fillId="2" borderId="7" xfId="0" applyNumberFormat="1" applyFont="1" applyFill="1" applyBorder="1" applyAlignment="1">
      <alignment horizontal="left" vertical="top" wrapText="1"/>
    </xf>
    <xf numFmtId="14" fontId="1" fillId="2" borderId="13" xfId="0" applyNumberFormat="1" applyFont="1" applyFill="1" applyBorder="1" applyAlignment="1">
      <alignment horizontal="left" vertical="top" wrapText="1"/>
    </xf>
    <xf numFmtId="0" fontId="1" fillId="2" borderId="10" xfId="0" applyFont="1" applyFill="1" applyBorder="1" applyAlignment="1">
      <alignment horizontal="left" vertical="top" wrapText="1"/>
    </xf>
    <xf numFmtId="0" fontId="16" fillId="2" borderId="0" xfId="0" applyFont="1" applyFill="1" applyAlignment="1"/>
    <xf numFmtId="0" fontId="22" fillId="2" borderId="0" xfId="0" applyFont="1" applyFill="1" applyAlignment="1"/>
    <xf numFmtId="0" fontId="1" fillId="2" borderId="7" xfId="0" applyFont="1" applyFill="1" applyBorder="1" applyAlignment="1">
      <alignment horizontal="center" wrapText="1"/>
    </xf>
    <xf numFmtId="0" fontId="1" fillId="2" borderId="13" xfId="0" applyFont="1" applyFill="1" applyBorder="1" applyAlignment="1">
      <alignment horizontal="center" wrapText="1"/>
    </xf>
    <xf numFmtId="0" fontId="9" fillId="2" borderId="0" xfId="0" applyFont="1" applyFill="1" applyBorder="1" applyAlignment="1">
      <alignment vertical="top"/>
    </xf>
    <xf numFmtId="0" fontId="18" fillId="2" borderId="0" xfId="0" applyFont="1" applyFill="1" applyAlignment="1">
      <alignment vertical="top"/>
    </xf>
    <xf numFmtId="0" fontId="1" fillId="2" borderId="0" xfId="0" applyFont="1" applyFill="1" applyBorder="1" applyAlignment="1">
      <alignment horizontal="justify" vertical="center" wrapText="1"/>
    </xf>
    <xf numFmtId="0" fontId="1" fillId="2" borderId="7" xfId="0" applyFont="1" applyFill="1" applyBorder="1" applyAlignment="1">
      <alignment vertical="top" wrapText="1"/>
    </xf>
    <xf numFmtId="0" fontId="18" fillId="2" borderId="10" xfId="0" applyFont="1" applyFill="1" applyBorder="1" applyAlignment="1">
      <alignment wrapText="1"/>
    </xf>
    <xf numFmtId="0" fontId="12" fillId="2" borderId="0" xfId="0" applyFont="1" applyFill="1" applyAlignment="1">
      <alignment vertical="top" wrapText="1"/>
    </xf>
    <xf numFmtId="0" fontId="1" fillId="2" borderId="0" xfId="0" applyFont="1" applyFill="1" applyAlignment="1">
      <alignment vertical="top"/>
    </xf>
    <xf numFmtId="49" fontId="1" fillId="2" borderId="7" xfId="0" applyNumberFormat="1" applyFont="1" applyFill="1" applyBorder="1" applyAlignment="1">
      <alignment horizontal="center" vertical="top" wrapText="1"/>
    </xf>
    <xf numFmtId="49" fontId="1" fillId="2" borderId="10" xfId="0" applyNumberFormat="1" applyFont="1" applyFill="1" applyBorder="1" applyAlignment="1">
      <alignment horizontal="center" vertical="top" wrapText="1"/>
    </xf>
    <xf numFmtId="49" fontId="2" fillId="2" borderId="4"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xf>
    <xf numFmtId="49" fontId="2" fillId="2" borderId="20"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2" fillId="2" borderId="12"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11" xfId="0" applyNumberFormat="1" applyFont="1" applyFill="1" applyBorder="1" applyAlignment="1">
      <alignment horizontal="center" vertical="center"/>
    </xf>
    <xf numFmtId="49" fontId="1" fillId="2" borderId="13" xfId="0" applyNumberFormat="1" applyFont="1" applyFill="1" applyBorder="1" applyAlignment="1">
      <alignment horizontal="center" vertical="top" wrapText="1"/>
    </xf>
  </cellXfs>
  <cellStyles count="4">
    <cellStyle name="Обычный" xfId="0" builtinId="0"/>
    <cellStyle name="Обычный 2" xfId="3"/>
    <cellStyle name="Обычный 3" xfId="2"/>
    <cellStyle name="Обычный_РРО Культура на 2013"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nternet.garant.ru/document/redirect/74944009/0" TargetMode="External"/></Relationships>
</file>

<file path=xl/worksheets/sheet1.xml><?xml version="1.0" encoding="utf-8"?>
<worksheet xmlns="http://schemas.openxmlformats.org/spreadsheetml/2006/main" xmlns:r="http://schemas.openxmlformats.org/officeDocument/2006/relationships">
  <dimension ref="A1:AG428"/>
  <sheetViews>
    <sheetView tabSelected="1" topLeftCell="A392" workbookViewId="0">
      <selection activeCell="A392" sqref="A1:XFD1048576"/>
    </sheetView>
  </sheetViews>
  <sheetFormatPr defaultRowHeight="35.1" customHeight="1"/>
  <cols>
    <col min="1" max="1" width="9.140625" style="233"/>
    <col min="2" max="2" width="7.28515625" style="233" customWidth="1"/>
    <col min="3" max="3" width="10" style="233" customWidth="1"/>
    <col min="4" max="5" width="9.140625" style="233" customWidth="1"/>
    <col min="6" max="6" width="7.85546875" style="233" customWidth="1"/>
    <col min="7" max="7" width="6.140625" style="233" customWidth="1"/>
    <col min="8" max="8" width="7.42578125" style="233" customWidth="1"/>
    <col min="9" max="11" width="9.140625" style="233" customWidth="1"/>
    <col min="12" max="12" width="4.7109375" style="233" customWidth="1"/>
    <col min="13" max="13" width="10.5703125" style="1" customWidth="1"/>
    <col min="14" max="14" width="9.42578125" style="1" customWidth="1"/>
    <col min="15" max="15" width="9.28515625" style="1" customWidth="1"/>
    <col min="16" max="16" width="9" style="1" customWidth="1"/>
    <col min="17" max="17" width="6.7109375" style="1" customWidth="1"/>
    <col min="18" max="18" width="11.140625" style="1" customWidth="1"/>
    <col min="19" max="19" width="9.42578125" style="1" customWidth="1"/>
    <col min="20" max="20" width="8.42578125" style="1" customWidth="1"/>
    <col min="21" max="21" width="8.28515625" style="1" customWidth="1"/>
    <col min="22" max="22" width="7.42578125" style="1" customWidth="1"/>
    <col min="23" max="24" width="9.140625" style="1" customWidth="1"/>
    <col min="25" max="25" width="8.42578125" style="1" customWidth="1"/>
    <col min="26" max="26" width="8.28515625" style="1" customWidth="1"/>
    <col min="27" max="27" width="6.85546875" style="1" customWidth="1"/>
    <col min="28" max="28" width="9.7109375" style="1" customWidth="1"/>
    <col min="29" max="29" width="9.140625" style="1" customWidth="1"/>
    <col min="30" max="30" width="8.7109375" style="1" customWidth="1"/>
    <col min="31" max="31" width="8.28515625" style="1" customWidth="1"/>
    <col min="32" max="32" width="7.28515625" style="1" customWidth="1"/>
    <col min="33" max="33" width="10" style="1" customWidth="1"/>
    <col min="34" max="16384" width="9.140625" style="206"/>
  </cols>
  <sheetData>
    <row r="1" spans="1:33" ht="35.1" customHeight="1">
      <c r="A1" s="1" t="s">
        <v>0</v>
      </c>
      <c r="B1" s="2"/>
      <c r="C1" s="3"/>
      <c r="D1" s="4"/>
      <c r="E1" s="4"/>
      <c r="F1" s="4"/>
      <c r="G1" s="4"/>
      <c r="H1" s="4"/>
      <c r="I1" s="1"/>
      <c r="J1" s="1"/>
      <c r="K1" s="1"/>
      <c r="L1" s="1"/>
    </row>
    <row r="2" spans="1:33" ht="35.1" customHeight="1">
      <c r="A2" s="1" t="s">
        <v>1</v>
      </c>
      <c r="B2" s="5"/>
      <c r="C2" s="6"/>
      <c r="D2" s="1"/>
      <c r="E2" s="1"/>
      <c r="F2" s="1"/>
      <c r="G2" s="1"/>
      <c r="H2" s="1"/>
      <c r="I2" s="1"/>
      <c r="J2" s="1"/>
      <c r="K2" s="1"/>
      <c r="L2" s="1"/>
      <c r="Q2" s="291" t="s">
        <v>868</v>
      </c>
      <c r="R2" s="292"/>
      <c r="S2" s="292"/>
      <c r="T2" s="292"/>
      <c r="U2" s="292"/>
      <c r="V2" s="292"/>
      <c r="W2" s="292"/>
    </row>
    <row r="3" spans="1:33" ht="35.1" customHeight="1">
      <c r="A3" s="1"/>
      <c r="B3" s="5"/>
      <c r="C3" s="6"/>
      <c r="D3" s="1"/>
      <c r="E3" s="1"/>
      <c r="F3" s="1"/>
      <c r="G3" s="1"/>
      <c r="H3" s="1"/>
      <c r="I3" s="1"/>
      <c r="J3" s="1"/>
      <c r="K3" s="1"/>
      <c r="L3" s="1"/>
    </row>
    <row r="4" spans="1:33" ht="35.1" customHeight="1">
      <c r="A4" s="255" t="s">
        <v>2</v>
      </c>
      <c r="B4" s="258" t="s">
        <v>3</v>
      </c>
      <c r="C4" s="261" t="s">
        <v>4</v>
      </c>
      <c r="D4" s="262"/>
      <c r="E4" s="262"/>
      <c r="F4" s="262"/>
      <c r="G4" s="262"/>
      <c r="H4" s="262"/>
      <c r="I4" s="262"/>
      <c r="J4" s="262"/>
      <c r="K4" s="263"/>
      <c r="L4" s="252" t="s">
        <v>5</v>
      </c>
      <c r="M4" s="252" t="s">
        <v>6</v>
      </c>
      <c r="N4" s="207"/>
      <c r="O4" s="207"/>
      <c r="P4" s="207"/>
      <c r="Q4" s="207"/>
      <c r="R4" s="207"/>
      <c r="S4" s="207"/>
      <c r="T4" s="207"/>
      <c r="U4" s="207"/>
      <c r="V4" s="207"/>
      <c r="W4" s="208"/>
      <c r="X4" s="261" t="s">
        <v>601</v>
      </c>
      <c r="Y4" s="267"/>
      <c r="Z4" s="267"/>
      <c r="AA4" s="267"/>
      <c r="AB4" s="267"/>
      <c r="AC4" s="267"/>
      <c r="AD4" s="267"/>
      <c r="AE4" s="267"/>
      <c r="AF4" s="267"/>
      <c r="AG4" s="268"/>
    </row>
    <row r="5" spans="1:33" ht="35.1" customHeight="1">
      <c r="A5" s="256"/>
      <c r="B5" s="259"/>
      <c r="C5" s="264" t="s">
        <v>7</v>
      </c>
      <c r="D5" s="265"/>
      <c r="E5" s="266"/>
      <c r="F5" s="261" t="s">
        <v>8</v>
      </c>
      <c r="G5" s="267"/>
      <c r="H5" s="268"/>
      <c r="I5" s="261" t="s">
        <v>9</v>
      </c>
      <c r="J5" s="262"/>
      <c r="K5" s="263"/>
      <c r="L5" s="253"/>
      <c r="M5" s="253"/>
      <c r="N5" s="163"/>
      <c r="O5" s="195" t="s">
        <v>597</v>
      </c>
      <c r="P5" s="195"/>
      <c r="Q5" s="195"/>
      <c r="R5" s="196"/>
      <c r="S5" s="163"/>
      <c r="T5" s="195" t="s">
        <v>598</v>
      </c>
      <c r="U5" s="195"/>
      <c r="V5" s="195"/>
      <c r="W5" s="196"/>
      <c r="X5" s="295" t="s">
        <v>602</v>
      </c>
      <c r="Y5" s="296"/>
      <c r="Z5" s="296"/>
      <c r="AA5" s="296"/>
      <c r="AB5" s="296"/>
      <c r="AC5" s="296"/>
      <c r="AD5" s="296"/>
      <c r="AE5" s="296"/>
      <c r="AF5" s="296"/>
      <c r="AG5" s="297"/>
    </row>
    <row r="6" spans="1:33" ht="35.1" customHeight="1">
      <c r="A6" s="256"/>
      <c r="B6" s="259"/>
      <c r="C6" s="252" t="s">
        <v>10</v>
      </c>
      <c r="D6" s="252" t="s">
        <v>11</v>
      </c>
      <c r="E6" s="252" t="s">
        <v>12</v>
      </c>
      <c r="F6" s="252" t="s">
        <v>10</v>
      </c>
      <c r="G6" s="252" t="s">
        <v>13</v>
      </c>
      <c r="H6" s="252" t="s">
        <v>12</v>
      </c>
      <c r="I6" s="252" t="s">
        <v>10</v>
      </c>
      <c r="J6" s="252" t="s">
        <v>14</v>
      </c>
      <c r="K6" s="252" t="s">
        <v>12</v>
      </c>
      <c r="L6" s="253"/>
      <c r="M6" s="253"/>
      <c r="N6" s="293" t="s">
        <v>592</v>
      </c>
      <c r="O6" s="293" t="s">
        <v>593</v>
      </c>
      <c r="P6" s="293" t="s">
        <v>594</v>
      </c>
      <c r="Q6" s="293" t="s">
        <v>595</v>
      </c>
      <c r="R6" s="293" t="s">
        <v>596</v>
      </c>
      <c r="S6" s="293" t="s">
        <v>592</v>
      </c>
      <c r="T6" s="293" t="s">
        <v>593</v>
      </c>
      <c r="U6" s="293" t="s">
        <v>594</v>
      </c>
      <c r="V6" s="293" t="s">
        <v>595</v>
      </c>
      <c r="W6" s="293" t="s">
        <v>596</v>
      </c>
      <c r="X6" s="298" t="s">
        <v>603</v>
      </c>
      <c r="Y6" s="299"/>
      <c r="Z6" s="299"/>
      <c r="AA6" s="299"/>
      <c r="AB6" s="300"/>
      <c r="AC6" s="298" t="s">
        <v>604</v>
      </c>
      <c r="AD6" s="299"/>
      <c r="AE6" s="299"/>
      <c r="AF6" s="299"/>
      <c r="AG6" s="300"/>
    </row>
    <row r="7" spans="1:33" ht="35.1" customHeight="1">
      <c r="A7" s="256"/>
      <c r="B7" s="259"/>
      <c r="C7" s="253"/>
      <c r="D7" s="253"/>
      <c r="E7" s="253"/>
      <c r="F7" s="253"/>
      <c r="G7" s="253"/>
      <c r="H7" s="253"/>
      <c r="I7" s="253"/>
      <c r="J7" s="253"/>
      <c r="K7" s="253"/>
      <c r="L7" s="253"/>
      <c r="M7" s="253"/>
      <c r="N7" s="294"/>
      <c r="O7" s="294"/>
      <c r="P7" s="294"/>
      <c r="Q7" s="294"/>
      <c r="R7" s="294"/>
      <c r="S7" s="294"/>
      <c r="T7" s="294"/>
      <c r="U7" s="294"/>
      <c r="V7" s="294"/>
      <c r="W7" s="294"/>
      <c r="X7" s="301"/>
      <c r="Y7" s="302"/>
      <c r="Z7" s="302"/>
      <c r="AA7" s="302"/>
      <c r="AB7" s="303"/>
      <c r="AC7" s="301"/>
      <c r="AD7" s="302"/>
      <c r="AE7" s="302"/>
      <c r="AF7" s="302"/>
      <c r="AG7" s="303"/>
    </row>
    <row r="8" spans="1:33" ht="35.1" customHeight="1">
      <c r="A8" s="256"/>
      <c r="B8" s="259"/>
      <c r="C8" s="253"/>
      <c r="D8" s="253"/>
      <c r="E8" s="253"/>
      <c r="F8" s="253"/>
      <c r="G8" s="253"/>
      <c r="H8" s="253"/>
      <c r="I8" s="253"/>
      <c r="J8" s="253"/>
      <c r="K8" s="253"/>
      <c r="L8" s="253"/>
      <c r="M8" s="253"/>
      <c r="N8" s="294"/>
      <c r="O8" s="294"/>
      <c r="P8" s="294"/>
      <c r="Q8" s="294"/>
      <c r="R8" s="294"/>
      <c r="S8" s="294"/>
      <c r="T8" s="294"/>
      <c r="U8" s="294"/>
      <c r="V8" s="294"/>
      <c r="W8" s="294"/>
      <c r="X8" s="293" t="s">
        <v>592</v>
      </c>
      <c r="Y8" s="293" t="s">
        <v>593</v>
      </c>
      <c r="Z8" s="293" t="s">
        <v>594</v>
      </c>
      <c r="AA8" s="293" t="s">
        <v>595</v>
      </c>
      <c r="AB8" s="293" t="s">
        <v>596</v>
      </c>
      <c r="AC8" s="293" t="s">
        <v>592</v>
      </c>
      <c r="AD8" s="293" t="s">
        <v>593</v>
      </c>
      <c r="AE8" s="293" t="s">
        <v>594</v>
      </c>
      <c r="AF8" s="293" t="s">
        <v>595</v>
      </c>
      <c r="AG8" s="293" t="s">
        <v>596</v>
      </c>
    </row>
    <row r="9" spans="1:33" ht="35.1" customHeight="1">
      <c r="A9" s="256"/>
      <c r="B9" s="259"/>
      <c r="C9" s="253"/>
      <c r="D9" s="253"/>
      <c r="E9" s="253"/>
      <c r="F9" s="253"/>
      <c r="G9" s="253"/>
      <c r="H9" s="253"/>
      <c r="I9" s="253"/>
      <c r="J9" s="253"/>
      <c r="K9" s="253"/>
      <c r="L9" s="253"/>
      <c r="M9" s="253"/>
      <c r="N9" s="294"/>
      <c r="O9" s="164"/>
      <c r="P9" s="199"/>
      <c r="Q9" s="273"/>
      <c r="R9" s="199"/>
      <c r="S9" s="294"/>
      <c r="T9" s="164"/>
      <c r="U9" s="199"/>
      <c r="V9" s="273"/>
      <c r="W9" s="199"/>
      <c r="X9" s="294"/>
      <c r="Y9" s="294"/>
      <c r="Z9" s="294"/>
      <c r="AA9" s="294"/>
      <c r="AB9" s="294"/>
      <c r="AC9" s="294"/>
      <c r="AD9" s="294"/>
      <c r="AE9" s="294"/>
      <c r="AF9" s="294"/>
      <c r="AG9" s="294"/>
    </row>
    <row r="10" spans="1:33" ht="35.1" customHeight="1">
      <c r="A10" s="256"/>
      <c r="B10" s="259"/>
      <c r="C10" s="253"/>
      <c r="D10" s="253"/>
      <c r="E10" s="253"/>
      <c r="F10" s="253"/>
      <c r="G10" s="253"/>
      <c r="H10" s="253"/>
      <c r="I10" s="253"/>
      <c r="J10" s="253"/>
      <c r="K10" s="253"/>
      <c r="L10" s="253"/>
      <c r="M10" s="253"/>
      <c r="N10" s="199"/>
      <c r="O10" s="199"/>
      <c r="P10" s="199"/>
      <c r="Q10" s="273"/>
      <c r="R10" s="199"/>
      <c r="S10" s="199"/>
      <c r="T10" s="199"/>
      <c r="U10" s="199"/>
      <c r="V10" s="273"/>
      <c r="W10" s="199"/>
      <c r="X10" s="294"/>
      <c r="Y10" s="294"/>
      <c r="Z10" s="294"/>
      <c r="AA10" s="294"/>
      <c r="AB10" s="294"/>
      <c r="AC10" s="294"/>
      <c r="AD10" s="294"/>
      <c r="AE10" s="294"/>
      <c r="AF10" s="294"/>
      <c r="AG10" s="294"/>
    </row>
    <row r="11" spans="1:33" ht="35.1" customHeight="1">
      <c r="A11" s="257"/>
      <c r="B11" s="260"/>
      <c r="C11" s="254"/>
      <c r="D11" s="254"/>
      <c r="E11" s="254"/>
      <c r="F11" s="254"/>
      <c r="G11" s="254"/>
      <c r="H11" s="254"/>
      <c r="I11" s="254"/>
      <c r="J11" s="254"/>
      <c r="K11" s="254"/>
      <c r="L11" s="254"/>
      <c r="M11" s="254"/>
      <c r="N11" s="200"/>
      <c r="O11" s="200"/>
      <c r="P11" s="200"/>
      <c r="Q11" s="200"/>
      <c r="R11" s="200"/>
      <c r="S11" s="200"/>
      <c r="T11" s="200"/>
      <c r="U11" s="200"/>
      <c r="V11" s="274"/>
      <c r="W11" s="200"/>
      <c r="X11" s="304"/>
      <c r="Y11" s="304"/>
      <c r="Z11" s="304"/>
      <c r="AA11" s="304"/>
      <c r="AB11" s="304"/>
      <c r="AC11" s="304"/>
      <c r="AD11" s="304"/>
      <c r="AE11" s="304"/>
      <c r="AF11" s="304"/>
      <c r="AG11" s="304"/>
    </row>
    <row r="12" spans="1:33" ht="35.1" customHeight="1">
      <c r="A12" s="186">
        <v>1</v>
      </c>
      <c r="B12" s="7" t="s">
        <v>15</v>
      </c>
      <c r="C12" s="194">
        <v>3</v>
      </c>
      <c r="D12" s="194">
        <v>4</v>
      </c>
      <c r="E12" s="194">
        <v>5</v>
      </c>
      <c r="F12" s="194">
        <v>6</v>
      </c>
      <c r="G12" s="194">
        <v>7</v>
      </c>
      <c r="H12" s="194">
        <v>8</v>
      </c>
      <c r="I12" s="194">
        <v>9</v>
      </c>
      <c r="J12" s="194">
        <v>10</v>
      </c>
      <c r="K12" s="194">
        <v>11</v>
      </c>
      <c r="L12" s="194">
        <v>12</v>
      </c>
      <c r="M12" s="194">
        <v>30</v>
      </c>
      <c r="N12" s="194" t="s">
        <v>599</v>
      </c>
      <c r="O12" s="194">
        <v>42</v>
      </c>
      <c r="P12" s="194">
        <v>43</v>
      </c>
      <c r="Q12" s="194">
        <v>44</v>
      </c>
      <c r="R12" s="194">
        <v>45</v>
      </c>
      <c r="S12" s="194" t="s">
        <v>600</v>
      </c>
      <c r="T12" s="194">
        <v>47</v>
      </c>
      <c r="U12" s="194">
        <v>48</v>
      </c>
      <c r="V12" s="194">
        <v>49</v>
      </c>
      <c r="W12" s="194">
        <v>50</v>
      </c>
      <c r="X12" s="194" t="s">
        <v>605</v>
      </c>
      <c r="Y12" s="194">
        <v>52</v>
      </c>
      <c r="Z12" s="194">
        <v>53</v>
      </c>
      <c r="AA12" s="194">
        <v>54</v>
      </c>
      <c r="AB12" s="194">
        <v>55</v>
      </c>
      <c r="AC12" s="194" t="s">
        <v>606</v>
      </c>
      <c r="AD12" s="194">
        <v>57</v>
      </c>
      <c r="AE12" s="194">
        <v>58</v>
      </c>
      <c r="AF12" s="194">
        <v>59</v>
      </c>
      <c r="AG12" s="194">
        <v>60</v>
      </c>
    </row>
    <row r="13" spans="1:33" ht="35.1" customHeight="1">
      <c r="A13" s="8" t="s">
        <v>16</v>
      </c>
      <c r="B13" s="9">
        <v>2500</v>
      </c>
      <c r="C13" s="9" t="s">
        <v>17</v>
      </c>
      <c r="D13" s="9" t="s">
        <v>17</v>
      </c>
      <c r="E13" s="9" t="s">
        <v>17</v>
      </c>
      <c r="F13" s="9"/>
      <c r="G13" s="9"/>
      <c r="H13" s="9"/>
      <c r="I13" s="9" t="s">
        <v>17</v>
      </c>
      <c r="J13" s="9" t="s">
        <v>17</v>
      </c>
      <c r="K13" s="9" t="s">
        <v>17</v>
      </c>
      <c r="L13" s="9" t="s">
        <v>17</v>
      </c>
      <c r="M13" s="9" t="s">
        <v>17</v>
      </c>
      <c r="N13" s="165">
        <f t="shared" ref="N13:AG13" si="0">N14+N197+N284+N314+N381+N398</f>
        <v>2228345.2000000002</v>
      </c>
      <c r="O13" s="165">
        <f t="shared" si="0"/>
        <v>88326.89999999998</v>
      </c>
      <c r="P13" s="165">
        <f t="shared" si="0"/>
        <v>909351.5</v>
      </c>
      <c r="Q13" s="165">
        <f t="shared" si="0"/>
        <v>1300</v>
      </c>
      <c r="R13" s="165">
        <f t="shared" si="0"/>
        <v>1229366.8</v>
      </c>
      <c r="S13" s="165">
        <f t="shared" si="0"/>
        <v>1987777.4999999998</v>
      </c>
      <c r="T13" s="165">
        <f t="shared" si="0"/>
        <v>125056.49999999999</v>
      </c>
      <c r="U13" s="165">
        <f t="shared" si="0"/>
        <v>800673.2</v>
      </c>
      <c r="V13" s="165">
        <f t="shared" si="0"/>
        <v>1300</v>
      </c>
      <c r="W13" s="165">
        <f t="shared" si="0"/>
        <v>1060747.7999999998</v>
      </c>
      <c r="X13" s="165">
        <f t="shared" si="0"/>
        <v>1806656.4</v>
      </c>
      <c r="Y13" s="165">
        <f t="shared" si="0"/>
        <v>69342.399999999994</v>
      </c>
      <c r="Z13" s="165">
        <f t="shared" si="0"/>
        <v>676719.5</v>
      </c>
      <c r="AA13" s="165">
        <f t="shared" si="0"/>
        <v>1300</v>
      </c>
      <c r="AB13" s="165">
        <f t="shared" si="0"/>
        <v>1059294.4999999998</v>
      </c>
      <c r="AC13" s="165">
        <f t="shared" si="0"/>
        <v>1806656.4</v>
      </c>
      <c r="AD13" s="165">
        <f t="shared" si="0"/>
        <v>69342.399999999994</v>
      </c>
      <c r="AE13" s="165">
        <f t="shared" si="0"/>
        <v>676719.5</v>
      </c>
      <c r="AF13" s="165">
        <f t="shared" si="0"/>
        <v>1300</v>
      </c>
      <c r="AG13" s="165">
        <f t="shared" si="0"/>
        <v>1059294.4999999998</v>
      </c>
    </row>
    <row r="14" spans="1:33" ht="35.1" customHeight="1">
      <c r="A14" s="8" t="s">
        <v>18</v>
      </c>
      <c r="B14" s="9">
        <v>2501</v>
      </c>
      <c r="C14" s="9" t="s">
        <v>17</v>
      </c>
      <c r="D14" s="9" t="s">
        <v>17</v>
      </c>
      <c r="E14" s="9" t="s">
        <v>17</v>
      </c>
      <c r="F14" s="9"/>
      <c r="G14" s="9"/>
      <c r="H14" s="9"/>
      <c r="I14" s="9" t="s">
        <v>17</v>
      </c>
      <c r="J14" s="9" t="s">
        <v>17</v>
      </c>
      <c r="K14" s="9" t="s">
        <v>17</v>
      </c>
      <c r="L14" s="9" t="s">
        <v>17</v>
      </c>
      <c r="M14" s="9" t="s">
        <v>17</v>
      </c>
      <c r="N14" s="165">
        <f t="shared" ref="N14:AG14" si="1">N18+N28+N31+N39+N45+N48+N52+N55+N69+N89+N106+N107+N115+N122+N139+N153+N156+N159+N162+N166+N179+N186+N188+N194+N181+N183</f>
        <v>1337051.5</v>
      </c>
      <c r="O14" s="165">
        <f t="shared" si="1"/>
        <v>63701.099999999991</v>
      </c>
      <c r="P14" s="165">
        <f t="shared" si="1"/>
        <v>230940.50000000003</v>
      </c>
      <c r="Q14" s="165">
        <f t="shared" si="1"/>
        <v>1300</v>
      </c>
      <c r="R14" s="165">
        <f t="shared" si="1"/>
        <v>1041109.9</v>
      </c>
      <c r="S14" s="165">
        <f t="shared" si="1"/>
        <v>1136003.0999999999</v>
      </c>
      <c r="T14" s="165">
        <f t="shared" si="1"/>
        <v>101206.79999999999</v>
      </c>
      <c r="U14" s="165">
        <f t="shared" si="1"/>
        <v>143122.29999999999</v>
      </c>
      <c r="V14" s="165">
        <f t="shared" si="1"/>
        <v>1300</v>
      </c>
      <c r="W14" s="165">
        <f t="shared" si="1"/>
        <v>890373.99999999988</v>
      </c>
      <c r="X14" s="165">
        <f t="shared" si="1"/>
        <v>955516</v>
      </c>
      <c r="Y14" s="165">
        <f t="shared" si="1"/>
        <v>45119.5</v>
      </c>
      <c r="Z14" s="165">
        <f t="shared" si="1"/>
        <v>20175.099999999999</v>
      </c>
      <c r="AA14" s="165">
        <f t="shared" si="1"/>
        <v>1300</v>
      </c>
      <c r="AB14" s="165">
        <f t="shared" si="1"/>
        <v>888921.39999999991</v>
      </c>
      <c r="AC14" s="165">
        <f t="shared" si="1"/>
        <v>955516</v>
      </c>
      <c r="AD14" s="165">
        <f t="shared" si="1"/>
        <v>45119.5</v>
      </c>
      <c r="AE14" s="165">
        <f t="shared" si="1"/>
        <v>20175.099999999999</v>
      </c>
      <c r="AF14" s="165">
        <f t="shared" si="1"/>
        <v>1300</v>
      </c>
      <c r="AG14" s="165">
        <f t="shared" si="1"/>
        <v>888921.39999999991</v>
      </c>
    </row>
    <row r="15" spans="1:33" ht="35.1" customHeight="1">
      <c r="A15" s="10" t="s">
        <v>19</v>
      </c>
      <c r="B15" s="149">
        <v>2502</v>
      </c>
      <c r="C15" s="11"/>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row>
    <row r="16" spans="1:33" ht="35.1" customHeight="1" thickBot="1">
      <c r="A16" s="13" t="s">
        <v>20</v>
      </c>
      <c r="B16" s="156"/>
      <c r="C16" s="11"/>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row>
    <row r="17" spans="1:33" ht="35.1" customHeight="1">
      <c r="A17" s="14" t="s">
        <v>21</v>
      </c>
      <c r="B17" s="15">
        <v>2503</v>
      </c>
      <c r="C17" s="11"/>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row>
    <row r="18" spans="1:33" ht="35.1" customHeight="1" thickBot="1">
      <c r="A18" s="16" t="s">
        <v>22</v>
      </c>
      <c r="B18" s="17">
        <v>2504</v>
      </c>
      <c r="C18" s="18"/>
      <c r="D18" s="19"/>
      <c r="E18" s="19"/>
      <c r="F18" s="19"/>
      <c r="G18" s="19"/>
      <c r="H18" s="19"/>
      <c r="I18" s="19"/>
      <c r="J18" s="19"/>
      <c r="K18" s="19"/>
      <c r="L18" s="19">
        <v>1</v>
      </c>
      <c r="M18" s="20"/>
      <c r="N18" s="19">
        <f>N19+N20+N25+N26+N24+N21+N23+N22+N27</f>
        <v>7074.9</v>
      </c>
      <c r="O18" s="19">
        <f t="shared" ref="O18:AG18" si="2">O19+O20+O25+O26+O24+O21+O23+O22+O27</f>
        <v>0</v>
      </c>
      <c r="P18" s="19">
        <f t="shared" si="2"/>
        <v>369.8</v>
      </c>
      <c r="Q18" s="19">
        <f t="shared" si="2"/>
        <v>0</v>
      </c>
      <c r="R18" s="19">
        <f t="shared" si="2"/>
        <v>6705.1</v>
      </c>
      <c r="S18" s="19">
        <f t="shared" si="2"/>
        <v>3000</v>
      </c>
      <c r="T18" s="19">
        <f t="shared" si="2"/>
        <v>0</v>
      </c>
      <c r="U18" s="19">
        <f t="shared" si="2"/>
        <v>0</v>
      </c>
      <c r="V18" s="19">
        <f t="shared" si="2"/>
        <v>0</v>
      </c>
      <c r="W18" s="19">
        <f t="shared" si="2"/>
        <v>3000</v>
      </c>
      <c r="X18" s="19">
        <f t="shared" si="2"/>
        <v>3000</v>
      </c>
      <c r="Y18" s="19">
        <f t="shared" si="2"/>
        <v>0</v>
      </c>
      <c r="Z18" s="19">
        <f t="shared" si="2"/>
        <v>0</v>
      </c>
      <c r="AA18" s="19">
        <f t="shared" si="2"/>
        <v>0</v>
      </c>
      <c r="AB18" s="19">
        <f t="shared" si="2"/>
        <v>3000</v>
      </c>
      <c r="AC18" s="19">
        <f t="shared" si="2"/>
        <v>3000</v>
      </c>
      <c r="AD18" s="19">
        <f t="shared" si="2"/>
        <v>0</v>
      </c>
      <c r="AE18" s="19">
        <f t="shared" si="2"/>
        <v>0</v>
      </c>
      <c r="AF18" s="19">
        <f t="shared" si="2"/>
        <v>0</v>
      </c>
      <c r="AG18" s="19">
        <f t="shared" si="2"/>
        <v>3000</v>
      </c>
    </row>
    <row r="19" spans="1:33" ht="35.1" customHeight="1" thickBot="1">
      <c r="A19" s="13"/>
      <c r="B19" s="21"/>
      <c r="C19" s="187" t="s">
        <v>23</v>
      </c>
      <c r="D19" s="145" t="s">
        <v>24</v>
      </c>
      <c r="E19" s="162" t="s">
        <v>25</v>
      </c>
      <c r="F19" s="22" t="s">
        <v>26</v>
      </c>
      <c r="G19" s="22" t="s">
        <v>27</v>
      </c>
      <c r="H19" s="22" t="s">
        <v>28</v>
      </c>
      <c r="I19" s="269" t="s">
        <v>736</v>
      </c>
      <c r="J19" s="269" t="s">
        <v>71</v>
      </c>
      <c r="K19" s="275" t="s">
        <v>737</v>
      </c>
      <c r="L19" s="12"/>
      <c r="M19" s="242" t="s">
        <v>32</v>
      </c>
      <c r="N19" s="12">
        <f>O19+P19+Q19+R19</f>
        <v>1750</v>
      </c>
      <c r="O19" s="12"/>
      <c r="P19" s="12"/>
      <c r="Q19" s="12"/>
      <c r="R19" s="12">
        <f>1250+500</f>
        <v>1750</v>
      </c>
      <c r="S19" s="12">
        <f>T19+U19+V19+W19</f>
        <v>1000</v>
      </c>
      <c r="T19" s="12"/>
      <c r="U19" s="12"/>
      <c r="V19" s="12"/>
      <c r="W19" s="12">
        <v>1000</v>
      </c>
      <c r="X19" s="12">
        <f>Y19+Z19+AA19+AB19</f>
        <v>1000</v>
      </c>
      <c r="Y19" s="12"/>
      <c r="Z19" s="12"/>
      <c r="AA19" s="12"/>
      <c r="AB19" s="12">
        <v>1000</v>
      </c>
      <c r="AC19" s="12">
        <f>AD19+AE19+AF19+AG19</f>
        <v>1000</v>
      </c>
      <c r="AD19" s="12"/>
      <c r="AE19" s="12"/>
      <c r="AF19" s="12"/>
      <c r="AG19" s="12">
        <v>1000</v>
      </c>
    </row>
    <row r="20" spans="1:33" ht="35.1" customHeight="1" thickBot="1">
      <c r="A20" s="13"/>
      <c r="B20" s="21"/>
      <c r="C20" s="22" t="s">
        <v>37</v>
      </c>
      <c r="D20" s="22" t="s">
        <v>38</v>
      </c>
      <c r="E20" s="22" t="s">
        <v>39</v>
      </c>
      <c r="F20" s="22" t="s">
        <v>40</v>
      </c>
      <c r="G20" s="22" t="s">
        <v>27</v>
      </c>
      <c r="H20" s="22" t="s">
        <v>41</v>
      </c>
      <c r="I20" s="270"/>
      <c r="J20" s="270"/>
      <c r="K20" s="276"/>
      <c r="L20" s="12"/>
      <c r="M20" s="242" t="s">
        <v>33</v>
      </c>
      <c r="N20" s="12">
        <f t="shared" ref="N20:N27" si="3">O20+P20+Q20+R20</f>
        <v>260</v>
      </c>
      <c r="O20" s="12"/>
      <c r="P20" s="12"/>
      <c r="Q20" s="12"/>
      <c r="R20" s="12">
        <v>260</v>
      </c>
      <c r="S20" s="12">
        <f t="shared" ref="S20:S26" si="4">T20+U20+V20+W20</f>
        <v>0</v>
      </c>
      <c r="T20" s="12"/>
      <c r="U20" s="12"/>
      <c r="V20" s="12"/>
      <c r="W20" s="12">
        <v>0</v>
      </c>
      <c r="X20" s="12">
        <f t="shared" ref="X20:X25" si="5">Y20+Z20+AA20+AB20</f>
        <v>0</v>
      </c>
      <c r="Y20" s="12"/>
      <c r="Z20" s="12"/>
      <c r="AA20" s="12"/>
      <c r="AB20" s="12"/>
      <c r="AC20" s="12">
        <f t="shared" ref="AC20:AC25" si="6">AD20+AE20+AF20+AG20</f>
        <v>0</v>
      </c>
      <c r="AD20" s="12"/>
      <c r="AE20" s="12"/>
      <c r="AF20" s="12"/>
      <c r="AG20" s="12">
        <v>0</v>
      </c>
    </row>
    <row r="21" spans="1:33" ht="35.1" customHeight="1" thickBot="1">
      <c r="A21" s="13"/>
      <c r="B21" s="21"/>
      <c r="C21" s="22" t="s">
        <v>43</v>
      </c>
      <c r="D21" s="22" t="s">
        <v>44</v>
      </c>
      <c r="E21" s="22" t="s">
        <v>45</v>
      </c>
      <c r="F21" s="22" t="s">
        <v>46</v>
      </c>
      <c r="G21" s="22" t="s">
        <v>27</v>
      </c>
      <c r="H21" s="22" t="s">
        <v>47</v>
      </c>
      <c r="I21" s="271"/>
      <c r="J21" s="273"/>
      <c r="K21" s="273"/>
      <c r="L21" s="12"/>
      <c r="M21" s="242" t="s">
        <v>34</v>
      </c>
      <c r="N21" s="12">
        <f t="shared" si="3"/>
        <v>200</v>
      </c>
      <c r="O21" s="12"/>
      <c r="P21" s="12"/>
      <c r="Q21" s="12"/>
      <c r="R21" s="12">
        <v>200</v>
      </c>
      <c r="S21" s="12">
        <f t="shared" si="4"/>
        <v>200</v>
      </c>
      <c r="T21" s="12"/>
      <c r="U21" s="12"/>
      <c r="V21" s="12"/>
      <c r="W21" s="12">
        <v>200</v>
      </c>
      <c r="X21" s="12">
        <f t="shared" si="5"/>
        <v>200</v>
      </c>
      <c r="Y21" s="12"/>
      <c r="Z21" s="12"/>
      <c r="AA21" s="12"/>
      <c r="AB21" s="12">
        <v>200</v>
      </c>
      <c r="AC21" s="12">
        <f t="shared" si="6"/>
        <v>200</v>
      </c>
      <c r="AD21" s="12"/>
      <c r="AE21" s="12"/>
      <c r="AF21" s="12"/>
      <c r="AG21" s="12">
        <v>200</v>
      </c>
    </row>
    <row r="22" spans="1:33" ht="35.1" customHeight="1" thickBot="1">
      <c r="A22" s="13"/>
      <c r="B22" s="21"/>
      <c r="C22" s="188"/>
      <c r="D22" s="153"/>
      <c r="E22" s="153"/>
      <c r="F22" s="22"/>
      <c r="G22" s="22"/>
      <c r="H22" s="22"/>
      <c r="I22" s="271"/>
      <c r="J22" s="273"/>
      <c r="K22" s="273"/>
      <c r="L22" s="12"/>
      <c r="M22" s="242" t="s">
        <v>35</v>
      </c>
      <c r="N22" s="12">
        <f t="shared" si="3"/>
        <v>500</v>
      </c>
      <c r="O22" s="12"/>
      <c r="P22" s="12"/>
      <c r="Q22" s="12"/>
      <c r="R22" s="12">
        <f>600-100</f>
        <v>500</v>
      </c>
      <c r="S22" s="12">
        <f t="shared" si="4"/>
        <v>600</v>
      </c>
      <c r="T22" s="12"/>
      <c r="U22" s="12"/>
      <c r="V22" s="12"/>
      <c r="W22" s="12">
        <v>600</v>
      </c>
      <c r="X22" s="12">
        <f t="shared" si="5"/>
        <v>600</v>
      </c>
      <c r="Y22" s="12"/>
      <c r="Z22" s="12"/>
      <c r="AA22" s="12"/>
      <c r="AB22" s="12">
        <v>600</v>
      </c>
      <c r="AC22" s="12">
        <f t="shared" si="6"/>
        <v>600</v>
      </c>
      <c r="AD22" s="12"/>
      <c r="AE22" s="12"/>
      <c r="AF22" s="12"/>
      <c r="AG22" s="12">
        <v>600</v>
      </c>
    </row>
    <row r="23" spans="1:33" ht="35.1" customHeight="1" thickBot="1">
      <c r="A23" s="13"/>
      <c r="B23" s="21"/>
      <c r="C23" s="188"/>
      <c r="D23" s="153"/>
      <c r="E23" s="153"/>
      <c r="F23" s="22"/>
      <c r="G23" s="22"/>
      <c r="H23" s="22"/>
      <c r="I23" s="271"/>
      <c r="J23" s="273"/>
      <c r="K23" s="273"/>
      <c r="L23" s="12"/>
      <c r="M23" s="242" t="s">
        <v>36</v>
      </c>
      <c r="N23" s="12">
        <f t="shared" si="3"/>
        <v>900</v>
      </c>
      <c r="O23" s="12"/>
      <c r="P23" s="12"/>
      <c r="Q23" s="12"/>
      <c r="R23" s="12">
        <f>800+100</f>
        <v>900</v>
      </c>
      <c r="S23" s="12">
        <f t="shared" si="4"/>
        <v>800</v>
      </c>
      <c r="T23" s="12"/>
      <c r="U23" s="12"/>
      <c r="V23" s="12"/>
      <c r="W23" s="12">
        <v>800</v>
      </c>
      <c r="X23" s="12">
        <f t="shared" si="5"/>
        <v>800</v>
      </c>
      <c r="Y23" s="12"/>
      <c r="Z23" s="12"/>
      <c r="AA23" s="12"/>
      <c r="AB23" s="12">
        <v>800</v>
      </c>
      <c r="AC23" s="12">
        <f t="shared" si="6"/>
        <v>800</v>
      </c>
      <c r="AD23" s="12"/>
      <c r="AE23" s="12"/>
      <c r="AF23" s="12"/>
      <c r="AG23" s="12">
        <v>800</v>
      </c>
    </row>
    <row r="24" spans="1:33" ht="35.1" customHeight="1" thickBot="1">
      <c r="A24" s="13"/>
      <c r="B24" s="21"/>
      <c r="C24" s="22"/>
      <c r="D24" s="22"/>
      <c r="E24" s="22"/>
      <c r="F24" s="206"/>
      <c r="G24" s="206"/>
      <c r="H24" s="206"/>
      <c r="I24" s="271"/>
      <c r="J24" s="273"/>
      <c r="K24" s="273"/>
      <c r="L24" s="12"/>
      <c r="M24" s="242" t="s">
        <v>42</v>
      </c>
      <c r="N24" s="12">
        <f t="shared" si="3"/>
        <v>370.2</v>
      </c>
      <c r="O24" s="12"/>
      <c r="P24" s="12">
        <v>369.8</v>
      </c>
      <c r="Q24" s="12"/>
      <c r="R24" s="12">
        <v>0.4</v>
      </c>
      <c r="S24" s="12">
        <f t="shared" si="4"/>
        <v>0</v>
      </c>
      <c r="T24" s="12"/>
      <c r="U24" s="12"/>
      <c r="V24" s="12"/>
      <c r="W24" s="12">
        <v>0</v>
      </c>
      <c r="X24" s="12">
        <f t="shared" si="5"/>
        <v>0</v>
      </c>
      <c r="Y24" s="12"/>
      <c r="Z24" s="12"/>
      <c r="AA24" s="12"/>
      <c r="AB24" s="12">
        <v>0</v>
      </c>
      <c r="AC24" s="12">
        <f t="shared" si="6"/>
        <v>0</v>
      </c>
      <c r="AD24" s="12"/>
      <c r="AE24" s="12"/>
      <c r="AF24" s="12"/>
      <c r="AG24" s="12">
        <v>0</v>
      </c>
    </row>
    <row r="25" spans="1:33" ht="35.1" customHeight="1" thickBot="1">
      <c r="A25" s="13"/>
      <c r="B25" s="21"/>
      <c r="C25" s="22"/>
      <c r="D25" s="22"/>
      <c r="E25" s="22"/>
      <c r="F25" s="22"/>
      <c r="G25" s="27"/>
      <c r="H25" s="22"/>
      <c r="I25" s="271"/>
      <c r="J25" s="273"/>
      <c r="K25" s="273"/>
      <c r="L25" s="12"/>
      <c r="M25" s="242" t="s">
        <v>49</v>
      </c>
      <c r="N25" s="12">
        <f t="shared" si="3"/>
        <v>67</v>
      </c>
      <c r="O25" s="12"/>
      <c r="P25" s="12"/>
      <c r="Q25" s="12"/>
      <c r="R25" s="12">
        <v>67</v>
      </c>
      <c r="S25" s="12">
        <f t="shared" si="4"/>
        <v>67</v>
      </c>
      <c r="T25" s="12"/>
      <c r="U25" s="12"/>
      <c r="V25" s="12"/>
      <c r="W25" s="12">
        <v>67</v>
      </c>
      <c r="X25" s="12">
        <f t="shared" si="5"/>
        <v>67</v>
      </c>
      <c r="Y25" s="12"/>
      <c r="Z25" s="12"/>
      <c r="AA25" s="12"/>
      <c r="AB25" s="12">
        <v>67</v>
      </c>
      <c r="AC25" s="12">
        <f t="shared" si="6"/>
        <v>67</v>
      </c>
      <c r="AD25" s="12"/>
      <c r="AE25" s="12"/>
      <c r="AF25" s="12"/>
      <c r="AG25" s="12">
        <v>67</v>
      </c>
    </row>
    <row r="26" spans="1:33" ht="35.1" customHeight="1" thickBot="1">
      <c r="A26" s="13"/>
      <c r="B26" s="21"/>
      <c r="C26" s="188"/>
      <c r="D26" s="153"/>
      <c r="E26" s="153"/>
      <c r="F26" s="12"/>
      <c r="G26" s="12"/>
      <c r="H26" s="12"/>
      <c r="I26" s="271"/>
      <c r="J26" s="273"/>
      <c r="K26" s="273"/>
      <c r="L26" s="12"/>
      <c r="M26" s="242" t="s">
        <v>31</v>
      </c>
      <c r="N26" s="12">
        <f t="shared" si="3"/>
        <v>333</v>
      </c>
      <c r="O26" s="12"/>
      <c r="P26" s="12"/>
      <c r="Q26" s="12"/>
      <c r="R26" s="12">
        <v>333</v>
      </c>
      <c r="S26" s="12">
        <f t="shared" si="4"/>
        <v>333</v>
      </c>
      <c r="T26" s="12"/>
      <c r="U26" s="12"/>
      <c r="V26" s="12"/>
      <c r="W26" s="12">
        <v>333</v>
      </c>
      <c r="X26" s="12">
        <f>Y26+Z26+AA26+AB26</f>
        <v>333</v>
      </c>
      <c r="Y26" s="12"/>
      <c r="Z26" s="12"/>
      <c r="AA26" s="12"/>
      <c r="AB26" s="12">
        <v>333</v>
      </c>
      <c r="AC26" s="12">
        <f>AD26+AE26+AF26+AG26</f>
        <v>333</v>
      </c>
      <c r="AD26" s="12"/>
      <c r="AE26" s="12"/>
      <c r="AF26" s="12"/>
      <c r="AG26" s="12">
        <v>333</v>
      </c>
    </row>
    <row r="27" spans="1:33" ht="35.1" customHeight="1" thickBot="1">
      <c r="A27" s="13"/>
      <c r="B27" s="21"/>
      <c r="C27" s="188"/>
      <c r="D27" s="153"/>
      <c r="E27" s="153"/>
      <c r="F27" s="12"/>
      <c r="G27" s="12"/>
      <c r="H27" s="12"/>
      <c r="I27" s="272"/>
      <c r="J27" s="274"/>
      <c r="K27" s="274"/>
      <c r="L27" s="12"/>
      <c r="M27" s="242" t="s">
        <v>616</v>
      </c>
      <c r="N27" s="12">
        <f t="shared" si="3"/>
        <v>2694.7</v>
      </c>
      <c r="O27" s="12"/>
      <c r="P27" s="12"/>
      <c r="Q27" s="12"/>
      <c r="R27" s="12">
        <v>2694.7</v>
      </c>
      <c r="S27" s="12">
        <v>0</v>
      </c>
      <c r="T27" s="12"/>
      <c r="U27" s="12"/>
      <c r="V27" s="12"/>
      <c r="W27" s="12">
        <v>0</v>
      </c>
      <c r="X27" s="12">
        <v>0</v>
      </c>
      <c r="Y27" s="12"/>
      <c r="Z27" s="12"/>
      <c r="AA27" s="12"/>
      <c r="AB27" s="12">
        <v>0</v>
      </c>
      <c r="AC27" s="12">
        <v>0</v>
      </c>
      <c r="AD27" s="12"/>
      <c r="AE27" s="12"/>
      <c r="AF27" s="12"/>
      <c r="AG27" s="12">
        <v>0</v>
      </c>
    </row>
    <row r="28" spans="1:33" ht="35.1" customHeight="1" thickBot="1">
      <c r="A28" s="16" t="s">
        <v>50</v>
      </c>
      <c r="B28" s="17">
        <v>2505</v>
      </c>
      <c r="C28" s="18"/>
      <c r="D28" s="19"/>
      <c r="E28" s="19"/>
      <c r="F28" s="19"/>
      <c r="G28" s="19"/>
      <c r="H28" s="19"/>
      <c r="I28" s="19"/>
      <c r="J28" s="19"/>
      <c r="K28" s="19"/>
      <c r="L28" s="19">
        <v>19</v>
      </c>
      <c r="M28" s="19"/>
      <c r="N28" s="19">
        <f>N29+N30</f>
        <v>29327.3</v>
      </c>
      <c r="O28" s="19">
        <f t="shared" ref="O28:AG28" si="7">O29+O30</f>
        <v>0</v>
      </c>
      <c r="P28" s="19">
        <f t="shared" si="7"/>
        <v>0</v>
      </c>
      <c r="Q28" s="19">
        <f t="shared" si="7"/>
        <v>0</v>
      </c>
      <c r="R28" s="19">
        <f t="shared" si="7"/>
        <v>29327.3</v>
      </c>
      <c r="S28" s="19">
        <f t="shared" si="7"/>
        <v>27827.3</v>
      </c>
      <c r="T28" s="19">
        <f t="shared" si="7"/>
        <v>0</v>
      </c>
      <c r="U28" s="19">
        <f t="shared" si="7"/>
        <v>0</v>
      </c>
      <c r="V28" s="19">
        <f t="shared" si="7"/>
        <v>0</v>
      </c>
      <c r="W28" s="19">
        <f t="shared" si="7"/>
        <v>27827.3</v>
      </c>
      <c r="X28" s="19">
        <f t="shared" si="7"/>
        <v>27827.3</v>
      </c>
      <c r="Y28" s="19">
        <f t="shared" si="7"/>
        <v>0</v>
      </c>
      <c r="Z28" s="19">
        <f t="shared" si="7"/>
        <v>0</v>
      </c>
      <c r="AA28" s="19">
        <f t="shared" si="7"/>
        <v>0</v>
      </c>
      <c r="AB28" s="19">
        <f t="shared" si="7"/>
        <v>27827.3</v>
      </c>
      <c r="AC28" s="19">
        <f t="shared" si="7"/>
        <v>27827.3</v>
      </c>
      <c r="AD28" s="19">
        <f t="shared" si="7"/>
        <v>0</v>
      </c>
      <c r="AE28" s="19">
        <f t="shared" si="7"/>
        <v>0</v>
      </c>
      <c r="AF28" s="19">
        <f t="shared" si="7"/>
        <v>0</v>
      </c>
      <c r="AG28" s="19">
        <f t="shared" si="7"/>
        <v>27827.3</v>
      </c>
    </row>
    <row r="29" spans="1:33" ht="35.1" customHeight="1" thickBot="1">
      <c r="A29" s="13"/>
      <c r="B29" s="21"/>
      <c r="C29" s="154" t="s">
        <v>743</v>
      </c>
      <c r="D29" s="189" t="s">
        <v>24</v>
      </c>
      <c r="E29" s="189" t="s">
        <v>25</v>
      </c>
      <c r="F29" s="183" t="s">
        <v>744</v>
      </c>
      <c r="G29" s="39" t="s">
        <v>71</v>
      </c>
      <c r="H29" s="141" t="s">
        <v>745</v>
      </c>
      <c r="I29" s="25" t="s">
        <v>639</v>
      </c>
      <c r="J29" s="25" t="s">
        <v>738</v>
      </c>
      <c r="K29" s="26" t="s">
        <v>640</v>
      </c>
      <c r="L29" s="12"/>
      <c r="M29" s="23" t="s">
        <v>52</v>
      </c>
      <c r="N29" s="12">
        <f t="shared" ref="N29:N30" si="8">O29+P29+Q29+R29</f>
        <v>6000</v>
      </c>
      <c r="O29" s="12"/>
      <c r="P29" s="12"/>
      <c r="Q29" s="12"/>
      <c r="R29" s="12">
        <f>4500+1500</f>
        <v>6000</v>
      </c>
      <c r="S29" s="12">
        <f>T29+U29+W29</f>
        <v>4500</v>
      </c>
      <c r="T29" s="12"/>
      <c r="U29" s="12"/>
      <c r="V29" s="12"/>
      <c r="W29" s="12">
        <v>4500</v>
      </c>
      <c r="X29" s="12">
        <f>Y29+Z29+AB29</f>
        <v>4500</v>
      </c>
      <c r="Y29" s="12"/>
      <c r="Z29" s="12"/>
      <c r="AA29" s="12"/>
      <c r="AB29" s="12">
        <v>4500</v>
      </c>
      <c r="AC29" s="12">
        <f>AD29+AE29+AG29</f>
        <v>4500</v>
      </c>
      <c r="AD29" s="12"/>
      <c r="AE29" s="12"/>
      <c r="AF29" s="12"/>
      <c r="AG29" s="12">
        <v>4500</v>
      </c>
    </row>
    <row r="30" spans="1:33" ht="35.1" customHeight="1" thickBot="1">
      <c r="A30" s="13"/>
      <c r="B30" s="21"/>
      <c r="C30" s="155"/>
      <c r="D30" s="190"/>
      <c r="E30" s="190"/>
      <c r="F30" s="39" t="s">
        <v>620</v>
      </c>
      <c r="G30" s="39" t="s">
        <v>71</v>
      </c>
      <c r="H30" s="141">
        <v>45791</v>
      </c>
      <c r="I30" s="25"/>
      <c r="J30" s="25"/>
      <c r="K30" s="26"/>
      <c r="L30" s="12"/>
      <c r="M30" s="23" t="s">
        <v>53</v>
      </c>
      <c r="N30" s="12">
        <f t="shared" si="8"/>
        <v>23327.3</v>
      </c>
      <c r="O30" s="12"/>
      <c r="P30" s="12"/>
      <c r="Q30" s="12"/>
      <c r="R30" s="12">
        <v>23327.3</v>
      </c>
      <c r="S30" s="12">
        <f>T30+U30+W30</f>
        <v>23327.3</v>
      </c>
      <c r="T30" s="12"/>
      <c r="U30" s="12"/>
      <c r="V30" s="12"/>
      <c r="W30" s="12">
        <v>23327.3</v>
      </c>
      <c r="X30" s="12">
        <f>Y30+Z30+AB30</f>
        <v>23327.3</v>
      </c>
      <c r="Y30" s="12"/>
      <c r="Z30" s="12"/>
      <c r="AA30" s="12"/>
      <c r="AB30" s="12">
        <v>23327.3</v>
      </c>
      <c r="AC30" s="12">
        <f>AD30+AE30+AG30</f>
        <v>23327.3</v>
      </c>
      <c r="AD30" s="12"/>
      <c r="AE30" s="12"/>
      <c r="AF30" s="12"/>
      <c r="AG30" s="12">
        <v>23327.3</v>
      </c>
    </row>
    <row r="31" spans="1:33" ht="35.1" customHeight="1" thickBot="1">
      <c r="A31" s="16" t="s">
        <v>54</v>
      </c>
      <c r="B31" s="17">
        <v>2507</v>
      </c>
      <c r="C31" s="18"/>
      <c r="D31" s="19"/>
      <c r="E31" s="19"/>
      <c r="F31" s="19"/>
      <c r="G31" s="19"/>
      <c r="H31" s="19"/>
      <c r="I31" s="19"/>
      <c r="J31" s="19"/>
      <c r="K31" s="19"/>
      <c r="L31" s="19">
        <v>3</v>
      </c>
      <c r="M31" s="19"/>
      <c r="N31" s="19">
        <f>N34+N36+N37+N32+N35+N38+N33</f>
        <v>184427.8</v>
      </c>
      <c r="O31" s="19">
        <f t="shared" ref="O31:AG31" si="9">O34+O36+O37+O32+O35+O38+O33</f>
        <v>0</v>
      </c>
      <c r="P31" s="19">
        <f t="shared" si="9"/>
        <v>133244.70000000001</v>
      </c>
      <c r="Q31" s="19">
        <f t="shared" si="9"/>
        <v>0</v>
      </c>
      <c r="R31" s="19">
        <f t="shared" si="9"/>
        <v>51183.1</v>
      </c>
      <c r="S31" s="19">
        <f t="shared" si="9"/>
        <v>46923.6</v>
      </c>
      <c r="T31" s="19">
        <f t="shared" si="9"/>
        <v>0</v>
      </c>
      <c r="U31" s="19">
        <f t="shared" si="9"/>
        <v>0</v>
      </c>
      <c r="V31" s="19">
        <f t="shared" si="9"/>
        <v>0</v>
      </c>
      <c r="W31" s="19">
        <f t="shared" si="9"/>
        <v>46923.6</v>
      </c>
      <c r="X31" s="19">
        <f t="shared" si="9"/>
        <v>46923.6</v>
      </c>
      <c r="Y31" s="19">
        <f t="shared" si="9"/>
        <v>0</v>
      </c>
      <c r="Z31" s="19">
        <f t="shared" si="9"/>
        <v>0</v>
      </c>
      <c r="AA31" s="19">
        <f t="shared" si="9"/>
        <v>0</v>
      </c>
      <c r="AB31" s="19">
        <f t="shared" si="9"/>
        <v>46923.6</v>
      </c>
      <c r="AC31" s="19">
        <f t="shared" si="9"/>
        <v>46923.6</v>
      </c>
      <c r="AD31" s="19">
        <f t="shared" si="9"/>
        <v>0</v>
      </c>
      <c r="AE31" s="19">
        <f t="shared" si="9"/>
        <v>0</v>
      </c>
      <c r="AF31" s="19">
        <f t="shared" si="9"/>
        <v>0</v>
      </c>
      <c r="AG31" s="19">
        <f t="shared" si="9"/>
        <v>46923.6</v>
      </c>
    </row>
    <row r="32" spans="1:33" ht="35.1" customHeight="1" thickBot="1">
      <c r="A32" s="13"/>
      <c r="B32" s="28"/>
      <c r="C32" s="22" t="s">
        <v>55</v>
      </c>
      <c r="D32" s="22" t="s">
        <v>56</v>
      </c>
      <c r="E32" s="22" t="s">
        <v>57</v>
      </c>
      <c r="F32" s="22" t="s">
        <v>58</v>
      </c>
      <c r="G32" s="22" t="s">
        <v>27</v>
      </c>
      <c r="H32" s="22" t="s">
        <v>59</v>
      </c>
      <c r="I32" s="39" t="s">
        <v>739</v>
      </c>
      <c r="J32" s="39" t="s">
        <v>71</v>
      </c>
      <c r="K32" s="166" t="s">
        <v>740</v>
      </c>
      <c r="L32" s="12"/>
      <c r="M32" s="23" t="s">
        <v>60</v>
      </c>
      <c r="N32" s="12">
        <f>O32+P32+Q32+R32</f>
        <v>21174.3</v>
      </c>
      <c r="O32" s="12"/>
      <c r="P32" s="12">
        <v>21000</v>
      </c>
      <c r="Q32" s="12"/>
      <c r="R32" s="12">
        <f>185.3-11</f>
        <v>174.3</v>
      </c>
      <c r="S32" s="12">
        <f t="shared" ref="S32:S38" si="10">T32+U32+V32+W32</f>
        <v>185.3</v>
      </c>
      <c r="T32" s="12"/>
      <c r="U32" s="12"/>
      <c r="V32" s="12"/>
      <c r="W32" s="12">
        <v>185.3</v>
      </c>
      <c r="X32" s="12">
        <f>Y32+Z32+AA32+AB32</f>
        <v>185.3</v>
      </c>
      <c r="Y32" s="12"/>
      <c r="Z32" s="12"/>
      <c r="AA32" s="12"/>
      <c r="AB32" s="12">
        <v>185.3</v>
      </c>
      <c r="AC32" s="12">
        <f>AD32+AE32+AF32+AG32</f>
        <v>185.3</v>
      </c>
      <c r="AD32" s="12"/>
      <c r="AE32" s="12"/>
      <c r="AF32" s="12"/>
      <c r="AG32" s="12">
        <v>185.3</v>
      </c>
    </row>
    <row r="33" spans="1:33" ht="35.1" customHeight="1" thickBot="1">
      <c r="A33" s="13"/>
      <c r="B33" s="28"/>
      <c r="C33" s="159"/>
      <c r="D33" s="190"/>
      <c r="E33" s="190"/>
      <c r="F33" s="209"/>
      <c r="G33" s="209"/>
      <c r="H33" s="209"/>
      <c r="I33" s="39" t="s">
        <v>764</v>
      </c>
      <c r="J33" s="39" t="s">
        <v>71</v>
      </c>
      <c r="K33" s="39" t="s">
        <v>865</v>
      </c>
      <c r="L33" s="12"/>
      <c r="M33" s="243" t="s">
        <v>63</v>
      </c>
      <c r="N33" s="12">
        <f t="shared" ref="N33:N38" si="11">O33+P33+Q33+R33</f>
        <v>5511</v>
      </c>
      <c r="O33" s="12"/>
      <c r="P33" s="12">
        <v>5500</v>
      </c>
      <c r="Q33" s="12"/>
      <c r="R33" s="12">
        <v>11</v>
      </c>
      <c r="S33" s="12">
        <f t="shared" si="10"/>
        <v>0</v>
      </c>
      <c r="T33" s="12"/>
      <c r="U33" s="12"/>
      <c r="V33" s="12"/>
      <c r="W33" s="12">
        <v>0</v>
      </c>
      <c r="X33" s="12">
        <f>Y33+Z33+AA33+AB33</f>
        <v>0</v>
      </c>
      <c r="Y33" s="12"/>
      <c r="Z33" s="12"/>
      <c r="AA33" s="12"/>
      <c r="AB33" s="12">
        <v>0</v>
      </c>
      <c r="AC33" s="12">
        <f>AD33+AE33+AF33+AG33</f>
        <v>0</v>
      </c>
      <c r="AD33" s="12"/>
      <c r="AE33" s="12"/>
      <c r="AF33" s="12"/>
      <c r="AG33" s="12">
        <v>0</v>
      </c>
    </row>
    <row r="34" spans="1:33" ht="35.1" customHeight="1" thickBot="1">
      <c r="A34" s="13"/>
      <c r="B34" s="28"/>
      <c r="C34" s="159"/>
      <c r="D34" s="190"/>
      <c r="E34" s="190"/>
      <c r="F34" s="39"/>
      <c r="G34" s="39"/>
      <c r="H34" s="141"/>
      <c r="I34" s="39" t="s">
        <v>741</v>
      </c>
      <c r="J34" s="39" t="s">
        <v>71</v>
      </c>
      <c r="K34" s="39" t="s">
        <v>742</v>
      </c>
      <c r="L34" s="12"/>
      <c r="M34" s="23" t="s">
        <v>64</v>
      </c>
      <c r="N34" s="12">
        <f t="shared" si="11"/>
        <v>39694.9</v>
      </c>
      <c r="O34" s="12"/>
      <c r="P34" s="12">
        <v>39611.5</v>
      </c>
      <c r="Q34" s="12"/>
      <c r="R34" s="12">
        <v>83.4</v>
      </c>
      <c r="S34" s="12">
        <f t="shared" si="10"/>
        <v>83.4</v>
      </c>
      <c r="T34" s="12"/>
      <c r="U34" s="12"/>
      <c r="V34" s="12"/>
      <c r="W34" s="12">
        <v>83.4</v>
      </c>
      <c r="X34" s="12">
        <f t="shared" ref="X34:X38" si="12">Y34+Z34+AA34+AB34</f>
        <v>83.4</v>
      </c>
      <c r="Y34" s="12"/>
      <c r="Z34" s="12"/>
      <c r="AA34" s="12"/>
      <c r="AB34" s="12">
        <v>83.4</v>
      </c>
      <c r="AC34" s="12">
        <f t="shared" ref="AC34:AC38" si="13">AD34+AE34+AF34+AG34</f>
        <v>83.4</v>
      </c>
      <c r="AD34" s="12"/>
      <c r="AE34" s="12"/>
      <c r="AF34" s="12"/>
      <c r="AG34" s="12">
        <v>83.4</v>
      </c>
    </row>
    <row r="35" spans="1:33" ht="35.1" customHeight="1" thickBot="1">
      <c r="A35" s="13"/>
      <c r="B35" s="28"/>
      <c r="C35" s="159"/>
      <c r="D35" s="190"/>
      <c r="E35" s="190"/>
      <c r="F35" s="12"/>
      <c r="G35" s="12"/>
      <c r="H35" s="12"/>
      <c r="I35" s="45" t="s">
        <v>621</v>
      </c>
      <c r="J35" s="45" t="s">
        <v>622</v>
      </c>
      <c r="K35" s="140" t="s">
        <v>623</v>
      </c>
      <c r="L35" s="12"/>
      <c r="M35" s="23" t="s">
        <v>65</v>
      </c>
      <c r="N35" s="12">
        <f t="shared" si="11"/>
        <v>45100</v>
      </c>
      <c r="O35" s="12"/>
      <c r="P35" s="12"/>
      <c r="Q35" s="12"/>
      <c r="R35" s="12">
        <f>41600+3500</f>
        <v>45100</v>
      </c>
      <c r="S35" s="12">
        <f t="shared" si="10"/>
        <v>41600</v>
      </c>
      <c r="T35" s="12"/>
      <c r="U35" s="12"/>
      <c r="V35" s="12"/>
      <c r="W35" s="12">
        <v>41600</v>
      </c>
      <c r="X35" s="12">
        <f t="shared" si="12"/>
        <v>41600</v>
      </c>
      <c r="Y35" s="12"/>
      <c r="Z35" s="12"/>
      <c r="AA35" s="12"/>
      <c r="AB35" s="12">
        <v>41600</v>
      </c>
      <c r="AC35" s="12">
        <f t="shared" si="13"/>
        <v>41600</v>
      </c>
      <c r="AD35" s="12"/>
      <c r="AE35" s="12"/>
      <c r="AF35" s="12"/>
      <c r="AG35" s="12">
        <v>41600</v>
      </c>
    </row>
    <row r="36" spans="1:33" ht="35.1" customHeight="1" thickBot="1">
      <c r="A36" s="13"/>
      <c r="B36" s="28"/>
      <c r="C36" s="159"/>
      <c r="D36" s="190"/>
      <c r="E36" s="190"/>
      <c r="F36" s="12"/>
      <c r="G36" s="12"/>
      <c r="H36" s="12"/>
      <c r="I36" s="39" t="s">
        <v>746</v>
      </c>
      <c r="J36" s="39" t="s">
        <v>71</v>
      </c>
      <c r="K36" s="39" t="s">
        <v>625</v>
      </c>
      <c r="L36" s="12"/>
      <c r="M36" s="23" t="s">
        <v>66</v>
      </c>
      <c r="N36" s="12">
        <f t="shared" si="11"/>
        <v>4894.8</v>
      </c>
      <c r="O36" s="12"/>
      <c r="P36" s="12"/>
      <c r="Q36" s="12"/>
      <c r="R36" s="12">
        <f>4472.7+422.1</f>
        <v>4894.8</v>
      </c>
      <c r="S36" s="12">
        <f t="shared" si="10"/>
        <v>4472.7</v>
      </c>
      <c r="T36" s="12"/>
      <c r="U36" s="12"/>
      <c r="V36" s="12"/>
      <c r="W36" s="12">
        <v>4472.7</v>
      </c>
      <c r="X36" s="12">
        <f t="shared" si="12"/>
        <v>4472.7</v>
      </c>
      <c r="Y36" s="12"/>
      <c r="Z36" s="12"/>
      <c r="AA36" s="12"/>
      <c r="AB36" s="12">
        <v>4472.7</v>
      </c>
      <c r="AC36" s="12">
        <f t="shared" si="13"/>
        <v>4472.7</v>
      </c>
      <c r="AD36" s="12"/>
      <c r="AE36" s="12"/>
      <c r="AF36" s="12"/>
      <c r="AG36" s="12">
        <v>4472.7</v>
      </c>
    </row>
    <row r="37" spans="1:33" ht="35.1" customHeight="1" thickBot="1">
      <c r="A37" s="13"/>
      <c r="B37" s="28"/>
      <c r="C37" s="159"/>
      <c r="D37" s="190"/>
      <c r="E37" s="190"/>
      <c r="F37" s="12"/>
      <c r="G37" s="12"/>
      <c r="H37" s="12"/>
      <c r="I37" s="25" t="s">
        <v>29</v>
      </c>
      <c r="J37" s="25" t="s">
        <v>747</v>
      </c>
      <c r="K37" s="26" t="s">
        <v>748</v>
      </c>
      <c r="L37" s="12"/>
      <c r="M37" s="23" t="s">
        <v>67</v>
      </c>
      <c r="N37" s="12">
        <f t="shared" si="11"/>
        <v>582.20000000000005</v>
      </c>
      <c r="O37" s="12"/>
      <c r="P37" s="12"/>
      <c r="Q37" s="12"/>
      <c r="R37" s="12">
        <v>582.20000000000005</v>
      </c>
      <c r="S37" s="12">
        <f t="shared" si="10"/>
        <v>582.20000000000005</v>
      </c>
      <c r="T37" s="12"/>
      <c r="U37" s="12"/>
      <c r="V37" s="12"/>
      <c r="W37" s="12">
        <v>582.20000000000005</v>
      </c>
      <c r="X37" s="12">
        <f t="shared" si="12"/>
        <v>582.20000000000005</v>
      </c>
      <c r="Y37" s="12"/>
      <c r="Z37" s="12"/>
      <c r="AA37" s="12"/>
      <c r="AB37" s="12">
        <v>582.20000000000005</v>
      </c>
      <c r="AC37" s="12">
        <f t="shared" si="13"/>
        <v>582.20000000000005</v>
      </c>
      <c r="AD37" s="12"/>
      <c r="AE37" s="12"/>
      <c r="AF37" s="12"/>
      <c r="AG37" s="12">
        <v>582.20000000000005</v>
      </c>
    </row>
    <row r="38" spans="1:33" ht="35.1" customHeight="1" thickBot="1">
      <c r="A38" s="13"/>
      <c r="B38" s="28"/>
      <c r="C38" s="159"/>
      <c r="D38" s="190"/>
      <c r="E38" s="190"/>
      <c r="F38" s="39"/>
      <c r="G38" s="39"/>
      <c r="H38" s="39"/>
      <c r="I38" s="39" t="s">
        <v>626</v>
      </c>
      <c r="J38" s="39" t="s">
        <v>71</v>
      </c>
      <c r="K38" s="39" t="s">
        <v>749</v>
      </c>
      <c r="L38" s="39"/>
      <c r="M38" s="23" t="s">
        <v>68</v>
      </c>
      <c r="N38" s="12">
        <f t="shared" si="11"/>
        <v>67470.599999999991</v>
      </c>
      <c r="O38" s="12"/>
      <c r="P38" s="12">
        <v>67133.2</v>
      </c>
      <c r="Q38" s="12"/>
      <c r="R38" s="12">
        <v>337.4</v>
      </c>
      <c r="S38" s="12">
        <f t="shared" si="10"/>
        <v>0</v>
      </c>
      <c r="T38" s="12"/>
      <c r="U38" s="12"/>
      <c r="V38" s="12"/>
      <c r="W38" s="12">
        <v>0</v>
      </c>
      <c r="X38" s="12">
        <f t="shared" si="12"/>
        <v>0</v>
      </c>
      <c r="Y38" s="12"/>
      <c r="Z38" s="12"/>
      <c r="AA38" s="12"/>
      <c r="AB38" s="12">
        <v>0</v>
      </c>
      <c r="AC38" s="12">
        <f t="shared" si="13"/>
        <v>0</v>
      </c>
      <c r="AD38" s="12"/>
      <c r="AE38" s="12"/>
      <c r="AF38" s="12"/>
      <c r="AG38" s="12">
        <v>0</v>
      </c>
    </row>
    <row r="39" spans="1:33" ht="35.1" customHeight="1">
      <c r="A39" s="31" t="s">
        <v>69</v>
      </c>
      <c r="B39" s="32">
        <v>2508</v>
      </c>
      <c r="C39" s="33"/>
      <c r="D39" s="34"/>
      <c r="E39" s="34"/>
      <c r="F39" s="34"/>
      <c r="G39" s="34"/>
      <c r="H39" s="34"/>
      <c r="I39" s="34"/>
      <c r="J39" s="34"/>
      <c r="K39" s="34"/>
      <c r="L39" s="34">
        <v>18</v>
      </c>
      <c r="M39" s="19"/>
      <c r="N39" s="165">
        <f>N43+N40+N41+N42+N44</f>
        <v>14170.2</v>
      </c>
      <c r="O39" s="165">
        <f t="shared" ref="O39:AG39" si="14">O43+O40+O41+O42+O44</f>
        <v>786.7</v>
      </c>
      <c r="P39" s="165">
        <f t="shared" si="14"/>
        <v>3199.7</v>
      </c>
      <c r="Q39" s="165">
        <f t="shared" si="14"/>
        <v>0</v>
      </c>
      <c r="R39" s="165">
        <f t="shared" si="14"/>
        <v>10183.799999999999</v>
      </c>
      <c r="S39" s="165">
        <f t="shared" si="14"/>
        <v>115689.00000000001</v>
      </c>
      <c r="T39" s="165">
        <f t="shared" si="14"/>
        <v>897.6</v>
      </c>
      <c r="U39" s="165">
        <f t="shared" si="14"/>
        <v>110709.40000000001</v>
      </c>
      <c r="V39" s="165">
        <f t="shared" si="14"/>
        <v>0</v>
      </c>
      <c r="W39" s="165">
        <f t="shared" si="14"/>
        <v>4082</v>
      </c>
      <c r="X39" s="165">
        <f t="shared" si="14"/>
        <v>7634.8</v>
      </c>
      <c r="Y39" s="165">
        <f t="shared" si="14"/>
        <v>902.5</v>
      </c>
      <c r="Z39" s="165">
        <f t="shared" si="14"/>
        <v>3732.3</v>
      </c>
      <c r="AA39" s="165">
        <f t="shared" si="14"/>
        <v>0</v>
      </c>
      <c r="AB39" s="165">
        <f t="shared" si="14"/>
        <v>3000</v>
      </c>
      <c r="AC39" s="165">
        <f t="shared" si="14"/>
        <v>7634.8</v>
      </c>
      <c r="AD39" s="165">
        <f t="shared" si="14"/>
        <v>902.5</v>
      </c>
      <c r="AE39" s="165">
        <f t="shared" si="14"/>
        <v>3732.3</v>
      </c>
      <c r="AF39" s="165">
        <f t="shared" si="14"/>
        <v>0</v>
      </c>
      <c r="AG39" s="165">
        <f t="shared" si="14"/>
        <v>3000</v>
      </c>
    </row>
    <row r="40" spans="1:33" ht="35.1" customHeight="1">
      <c r="A40" s="35"/>
      <c r="B40" s="38"/>
      <c r="C40" s="185" t="s">
        <v>70</v>
      </c>
      <c r="D40" s="149" t="s">
        <v>71</v>
      </c>
      <c r="E40" s="160" t="s">
        <v>750</v>
      </c>
      <c r="F40" s="39" t="s">
        <v>627</v>
      </c>
      <c r="G40" s="39" t="s">
        <v>624</v>
      </c>
      <c r="H40" s="39" t="s">
        <v>628</v>
      </c>
      <c r="I40" s="39"/>
      <c r="J40" s="39"/>
      <c r="K40" s="166"/>
      <c r="L40" s="12"/>
      <c r="M40" s="23" t="s">
        <v>72</v>
      </c>
      <c r="N40" s="12">
        <f>O40+P40+Q40+R40</f>
        <v>0</v>
      </c>
      <c r="O40" s="12"/>
      <c r="P40" s="12">
        <v>0</v>
      </c>
      <c r="Q40" s="12"/>
      <c r="R40" s="12"/>
      <c r="S40" s="12">
        <f>T40+U40+V40+W40</f>
        <v>30269.3</v>
      </c>
      <c r="T40" s="12"/>
      <c r="U40" s="12">
        <v>30269.3</v>
      </c>
      <c r="V40" s="12"/>
      <c r="W40" s="12"/>
      <c r="X40" s="12">
        <f>Z40</f>
        <v>0</v>
      </c>
      <c r="Y40" s="12"/>
      <c r="Z40" s="12">
        <v>0</v>
      </c>
      <c r="AA40" s="12"/>
      <c r="AB40" s="12"/>
      <c r="AC40" s="12">
        <f>AE40</f>
        <v>0</v>
      </c>
      <c r="AD40" s="12"/>
      <c r="AE40" s="12">
        <v>0</v>
      </c>
      <c r="AF40" s="12"/>
      <c r="AG40" s="12"/>
    </row>
    <row r="41" spans="1:33" ht="35.1" customHeight="1">
      <c r="A41" s="35"/>
      <c r="B41" s="38"/>
      <c r="C41" s="159"/>
      <c r="D41" s="150"/>
      <c r="E41" s="161"/>
      <c r="F41" s="19"/>
      <c r="G41" s="19"/>
      <c r="H41" s="19"/>
      <c r="I41" s="25"/>
      <c r="J41" s="25"/>
      <c r="K41" s="25"/>
      <c r="L41" s="12"/>
      <c r="M41" s="23" t="s">
        <v>73</v>
      </c>
      <c r="N41" s="12">
        <f>O41+P41+Q41+R41</f>
        <v>0</v>
      </c>
      <c r="O41" s="12"/>
      <c r="P41" s="12">
        <v>0</v>
      </c>
      <c r="Q41" s="12"/>
      <c r="R41" s="12"/>
      <c r="S41" s="12">
        <f>T41+U41+V41+W41</f>
        <v>77931.600000000006</v>
      </c>
      <c r="T41" s="12"/>
      <c r="U41" s="12">
        <v>76849.600000000006</v>
      </c>
      <c r="V41" s="12"/>
      <c r="W41" s="12">
        <v>1082</v>
      </c>
      <c r="X41" s="12">
        <f>Z41</f>
        <v>0</v>
      </c>
      <c r="Y41" s="12"/>
      <c r="Z41" s="12"/>
      <c r="AA41" s="12"/>
      <c r="AB41" s="12"/>
      <c r="AC41" s="12">
        <f>AE41</f>
        <v>0</v>
      </c>
      <c r="AD41" s="12"/>
      <c r="AE41" s="12"/>
      <c r="AF41" s="12"/>
      <c r="AG41" s="12"/>
    </row>
    <row r="42" spans="1:33" ht="35.1" customHeight="1">
      <c r="A42" s="35"/>
      <c r="B42" s="24"/>
      <c r="C42" s="22" t="s">
        <v>76</v>
      </c>
      <c r="D42" s="22" t="s">
        <v>77</v>
      </c>
      <c r="E42" s="22" t="s">
        <v>78</v>
      </c>
      <c r="F42" s="12"/>
      <c r="G42" s="12"/>
      <c r="H42" s="12"/>
      <c r="I42" s="62" t="s">
        <v>639</v>
      </c>
      <c r="J42" s="39" t="s">
        <v>763</v>
      </c>
      <c r="K42" s="166" t="s">
        <v>640</v>
      </c>
      <c r="L42" s="12"/>
      <c r="M42" s="23" t="s">
        <v>79</v>
      </c>
      <c r="N42" s="12">
        <f t="shared" ref="N42:N43" si="15">R42</f>
        <v>3183.8</v>
      </c>
      <c r="O42" s="12"/>
      <c r="P42" s="12">
        <v>0</v>
      </c>
      <c r="Q42" s="12"/>
      <c r="R42" s="12">
        <v>3183.8</v>
      </c>
      <c r="S42" s="12">
        <f t="shared" ref="S42:S43" si="16">T42+U42+V42+W42</f>
        <v>0</v>
      </c>
      <c r="T42" s="12"/>
      <c r="U42" s="12"/>
      <c r="V42" s="12"/>
      <c r="W42" s="12">
        <v>0</v>
      </c>
      <c r="X42" s="12">
        <f t="shared" ref="X42:X43" si="17">Z42</f>
        <v>0</v>
      </c>
      <c r="Y42" s="12"/>
      <c r="Z42" s="12"/>
      <c r="AA42" s="12"/>
      <c r="AB42" s="12"/>
      <c r="AC42" s="12">
        <v>0</v>
      </c>
      <c r="AD42" s="12"/>
      <c r="AE42" s="12"/>
      <c r="AF42" s="12"/>
      <c r="AG42" s="12">
        <v>0</v>
      </c>
    </row>
    <row r="43" spans="1:33" ht="35.1" customHeight="1">
      <c r="A43" s="35"/>
      <c r="B43" s="24"/>
      <c r="C43" s="210"/>
      <c r="D43" s="211"/>
      <c r="E43" s="211"/>
      <c r="F43" s="12"/>
      <c r="G43" s="12"/>
      <c r="H43" s="12"/>
      <c r="I43" s="212" t="s">
        <v>841</v>
      </c>
      <c r="J43" s="213" t="s">
        <v>712</v>
      </c>
      <c r="K43" s="214" t="s">
        <v>842</v>
      </c>
      <c r="L43" s="12"/>
      <c r="M43" s="23" t="s">
        <v>80</v>
      </c>
      <c r="N43" s="12">
        <f t="shared" si="15"/>
        <v>4000</v>
      </c>
      <c r="O43" s="12"/>
      <c r="P43" s="12">
        <v>0</v>
      </c>
      <c r="Q43" s="12"/>
      <c r="R43" s="12">
        <v>4000</v>
      </c>
      <c r="S43" s="12">
        <f t="shared" si="16"/>
        <v>0</v>
      </c>
      <c r="T43" s="12"/>
      <c r="U43" s="12"/>
      <c r="V43" s="12"/>
      <c r="W43" s="12">
        <v>0</v>
      </c>
      <c r="X43" s="12">
        <f t="shared" si="17"/>
        <v>0</v>
      </c>
      <c r="Y43" s="12"/>
      <c r="Z43" s="12"/>
      <c r="AA43" s="12"/>
      <c r="AB43" s="12">
        <v>0</v>
      </c>
      <c r="AC43" s="12">
        <v>0</v>
      </c>
      <c r="AD43" s="12"/>
      <c r="AE43" s="12"/>
      <c r="AF43" s="12"/>
      <c r="AG43" s="12">
        <v>0</v>
      </c>
    </row>
    <row r="44" spans="1:33" ht="35.1" customHeight="1">
      <c r="A44" s="12"/>
      <c r="B44" s="24"/>
      <c r="C44" s="39" t="s">
        <v>518</v>
      </c>
      <c r="D44" s="39" t="s">
        <v>71</v>
      </c>
      <c r="E44" s="39" t="s">
        <v>711</v>
      </c>
      <c r="F44" s="39" t="s">
        <v>519</v>
      </c>
      <c r="G44" s="39" t="s">
        <v>520</v>
      </c>
      <c r="H44" s="39" t="s">
        <v>521</v>
      </c>
      <c r="I44" s="39" t="s">
        <v>819</v>
      </c>
      <c r="J44" s="166" t="s">
        <v>712</v>
      </c>
      <c r="K44" s="166" t="s">
        <v>820</v>
      </c>
      <c r="L44" s="12"/>
      <c r="M44" s="23" t="s">
        <v>81</v>
      </c>
      <c r="N44" s="12">
        <f>O44+P44+Q44+R44</f>
        <v>6986.4</v>
      </c>
      <c r="O44" s="12">
        <v>786.7</v>
      </c>
      <c r="P44" s="12">
        <v>3199.7</v>
      </c>
      <c r="Q44" s="12"/>
      <c r="R44" s="12">
        <v>3000</v>
      </c>
      <c r="S44" s="12">
        <f>T44+U44+V44+W44</f>
        <v>7488.1</v>
      </c>
      <c r="T44" s="12">
        <v>897.6</v>
      </c>
      <c r="U44" s="12">
        <v>3590.5</v>
      </c>
      <c r="V44" s="12"/>
      <c r="W44" s="12">
        <v>3000</v>
      </c>
      <c r="X44" s="12">
        <f>Y44+Z44+AA44+AB44</f>
        <v>7634.8</v>
      </c>
      <c r="Y44" s="12">
        <v>902.5</v>
      </c>
      <c r="Z44" s="12">
        <v>3732.3</v>
      </c>
      <c r="AA44" s="12"/>
      <c r="AB44" s="12">
        <f>3000</f>
        <v>3000</v>
      </c>
      <c r="AC44" s="12">
        <f>AD44+AE44+AF44+AG44</f>
        <v>7634.8</v>
      </c>
      <c r="AD44" s="12">
        <v>902.5</v>
      </c>
      <c r="AE44" s="12">
        <v>3732.3</v>
      </c>
      <c r="AF44" s="12"/>
      <c r="AG44" s="12">
        <f>3000</f>
        <v>3000</v>
      </c>
    </row>
    <row r="45" spans="1:33" ht="35.1" customHeight="1">
      <c r="A45" s="51" t="s">
        <v>82</v>
      </c>
      <c r="B45" s="38">
        <v>2511</v>
      </c>
      <c r="C45" s="18"/>
      <c r="D45" s="19"/>
      <c r="E45" s="19"/>
      <c r="F45" s="19"/>
      <c r="G45" s="19"/>
      <c r="H45" s="19"/>
      <c r="I45" s="19"/>
      <c r="J45" s="19"/>
      <c r="K45" s="19"/>
      <c r="L45" s="19">
        <v>4</v>
      </c>
      <c r="M45" s="19"/>
      <c r="N45" s="19">
        <f t="shared" ref="N45:AG45" si="18">N46+N47</f>
        <v>30885.399999999998</v>
      </c>
      <c r="O45" s="19">
        <f t="shared" si="18"/>
        <v>0</v>
      </c>
      <c r="P45" s="19">
        <f t="shared" si="18"/>
        <v>0</v>
      </c>
      <c r="Q45" s="19">
        <f t="shared" si="18"/>
        <v>0</v>
      </c>
      <c r="R45" s="19">
        <f t="shared" si="18"/>
        <v>30885.399999999998</v>
      </c>
      <c r="S45" s="19">
        <f t="shared" si="18"/>
        <v>30885.399999999998</v>
      </c>
      <c r="T45" s="19">
        <f t="shared" si="18"/>
        <v>0</v>
      </c>
      <c r="U45" s="19">
        <f t="shared" si="18"/>
        <v>0</v>
      </c>
      <c r="V45" s="19">
        <f t="shared" si="18"/>
        <v>0</v>
      </c>
      <c r="W45" s="19">
        <f t="shared" si="18"/>
        <v>30885.399999999998</v>
      </c>
      <c r="X45" s="19">
        <f t="shared" si="18"/>
        <v>30885.399999999998</v>
      </c>
      <c r="Y45" s="19">
        <f t="shared" si="18"/>
        <v>0</v>
      </c>
      <c r="Z45" s="19">
        <f t="shared" si="18"/>
        <v>0</v>
      </c>
      <c r="AA45" s="19">
        <f t="shared" si="18"/>
        <v>0</v>
      </c>
      <c r="AB45" s="19">
        <f t="shared" si="18"/>
        <v>30885.399999999998</v>
      </c>
      <c r="AC45" s="19">
        <f t="shared" si="18"/>
        <v>30885.399999999998</v>
      </c>
      <c r="AD45" s="19">
        <f t="shared" si="18"/>
        <v>0</v>
      </c>
      <c r="AE45" s="19">
        <f t="shared" si="18"/>
        <v>0</v>
      </c>
      <c r="AF45" s="19">
        <f t="shared" si="18"/>
        <v>0</v>
      </c>
      <c r="AG45" s="19">
        <f t="shared" si="18"/>
        <v>30885.399999999998</v>
      </c>
    </row>
    <row r="46" spans="1:33" ht="35.1" customHeight="1" thickBot="1">
      <c r="A46" s="16"/>
      <c r="B46" s="56"/>
      <c r="C46" s="157" t="s">
        <v>23</v>
      </c>
      <c r="D46" s="142" t="s">
        <v>61</v>
      </c>
      <c r="E46" s="143" t="s">
        <v>62</v>
      </c>
      <c r="F46" s="25" t="s">
        <v>751</v>
      </c>
      <c r="G46" s="25" t="s">
        <v>83</v>
      </c>
      <c r="H46" s="25" t="s">
        <v>752</v>
      </c>
      <c r="I46" s="62" t="s">
        <v>639</v>
      </c>
      <c r="J46" s="39" t="s">
        <v>753</v>
      </c>
      <c r="K46" s="166" t="s">
        <v>640</v>
      </c>
      <c r="L46" s="43"/>
      <c r="M46" s="23" t="s">
        <v>84</v>
      </c>
      <c r="N46" s="12">
        <f>O46+P46+Q46+R46</f>
        <v>0.1</v>
      </c>
      <c r="O46" s="12"/>
      <c r="P46" s="12"/>
      <c r="Q46" s="12"/>
      <c r="R46" s="12">
        <v>0.1</v>
      </c>
      <c r="S46" s="19">
        <f>T46+U46+V46+W46</f>
        <v>0.1</v>
      </c>
      <c r="T46" s="19"/>
      <c r="U46" s="19"/>
      <c r="V46" s="19"/>
      <c r="W46" s="19">
        <v>0.1</v>
      </c>
      <c r="X46" s="19">
        <f>Y46+Z46+AA46+AB46</f>
        <v>0.1</v>
      </c>
      <c r="Y46" s="19"/>
      <c r="Z46" s="19"/>
      <c r="AA46" s="19"/>
      <c r="AB46" s="19">
        <v>0.1</v>
      </c>
      <c r="AC46" s="19">
        <f>AD46+AE46+AF46+AG46</f>
        <v>0.1</v>
      </c>
      <c r="AD46" s="19"/>
      <c r="AE46" s="19"/>
      <c r="AF46" s="19"/>
      <c r="AG46" s="19">
        <v>0.1</v>
      </c>
    </row>
    <row r="47" spans="1:33" ht="35.1" customHeight="1" thickBot="1">
      <c r="A47" s="13"/>
      <c r="B47" s="21"/>
      <c r="C47" s="158"/>
      <c r="D47" s="147"/>
      <c r="E47" s="146"/>
      <c r="F47" s="25"/>
      <c r="G47" s="25"/>
      <c r="H47" s="25"/>
      <c r="I47" s="153" t="s">
        <v>754</v>
      </c>
      <c r="J47" s="153" t="s">
        <v>71</v>
      </c>
      <c r="K47" s="39" t="s">
        <v>755</v>
      </c>
      <c r="L47" s="12"/>
      <c r="M47" s="23" t="s">
        <v>85</v>
      </c>
      <c r="N47" s="12">
        <f>O47+P47+Q47+R47</f>
        <v>30885.3</v>
      </c>
      <c r="O47" s="12"/>
      <c r="P47" s="12"/>
      <c r="Q47" s="12"/>
      <c r="R47" s="12">
        <v>30885.3</v>
      </c>
      <c r="S47" s="12">
        <f>T47+U47+V47+W47</f>
        <v>30885.3</v>
      </c>
      <c r="T47" s="12"/>
      <c r="U47" s="12"/>
      <c r="V47" s="12"/>
      <c r="W47" s="12">
        <v>30885.3</v>
      </c>
      <c r="X47" s="12">
        <f>Y47+Z47+AA47+AB47</f>
        <v>30885.3</v>
      </c>
      <c r="Y47" s="12"/>
      <c r="Z47" s="12"/>
      <c r="AA47" s="12"/>
      <c r="AB47" s="12">
        <v>30885.3</v>
      </c>
      <c r="AC47" s="12">
        <f>AD47+AE47+AF47+AG47</f>
        <v>30885.3</v>
      </c>
      <c r="AD47" s="12"/>
      <c r="AE47" s="12"/>
      <c r="AF47" s="12"/>
      <c r="AG47" s="12">
        <v>30885.3</v>
      </c>
    </row>
    <row r="48" spans="1:33" ht="35.1" customHeight="1">
      <c r="A48" s="31" t="s">
        <v>86</v>
      </c>
      <c r="B48" s="32">
        <v>2517</v>
      </c>
      <c r="C48" s="33"/>
      <c r="D48" s="34"/>
      <c r="E48" s="34"/>
      <c r="F48" s="34"/>
      <c r="G48" s="34"/>
      <c r="H48" s="34"/>
      <c r="I48" s="34"/>
      <c r="J48" s="34"/>
      <c r="K48" s="34"/>
      <c r="L48" s="19">
        <v>12</v>
      </c>
      <c r="M48" s="19"/>
      <c r="N48" s="19">
        <f>N49+N50+N51</f>
        <v>50483.5</v>
      </c>
      <c r="O48" s="19">
        <f t="shared" ref="O48:AG48" si="19">O49+O50+O51</f>
        <v>0</v>
      </c>
      <c r="P48" s="19">
        <f t="shared" si="19"/>
        <v>0</v>
      </c>
      <c r="Q48" s="19">
        <f t="shared" si="19"/>
        <v>0</v>
      </c>
      <c r="R48" s="19">
        <f t="shared" si="19"/>
        <v>50483.5</v>
      </c>
      <c r="S48" s="19">
        <f t="shared" si="19"/>
        <v>5000</v>
      </c>
      <c r="T48" s="19">
        <f t="shared" si="19"/>
        <v>0</v>
      </c>
      <c r="U48" s="19">
        <f t="shared" si="19"/>
        <v>0</v>
      </c>
      <c r="V48" s="19">
        <f t="shared" si="19"/>
        <v>0</v>
      </c>
      <c r="W48" s="19">
        <f t="shared" si="19"/>
        <v>5000</v>
      </c>
      <c r="X48" s="19">
        <f t="shared" si="19"/>
        <v>5000</v>
      </c>
      <c r="Y48" s="19">
        <f t="shared" si="19"/>
        <v>0</v>
      </c>
      <c r="Z48" s="19">
        <f t="shared" si="19"/>
        <v>0</v>
      </c>
      <c r="AA48" s="19">
        <f t="shared" si="19"/>
        <v>0</v>
      </c>
      <c r="AB48" s="19">
        <f t="shared" si="19"/>
        <v>5000</v>
      </c>
      <c r="AC48" s="19">
        <f t="shared" si="19"/>
        <v>5000</v>
      </c>
      <c r="AD48" s="19">
        <f t="shared" si="19"/>
        <v>0</v>
      </c>
      <c r="AE48" s="19">
        <f t="shared" si="19"/>
        <v>0</v>
      </c>
      <c r="AF48" s="19">
        <f t="shared" si="19"/>
        <v>0</v>
      </c>
      <c r="AG48" s="19">
        <f t="shared" si="19"/>
        <v>5000</v>
      </c>
    </row>
    <row r="49" spans="1:33" ht="35.1" customHeight="1">
      <c r="A49" s="167"/>
      <c r="B49" s="24"/>
      <c r="C49" s="209"/>
      <c r="D49" s="209"/>
      <c r="E49" s="209"/>
      <c r="F49" s="209"/>
      <c r="G49" s="209"/>
      <c r="H49" s="209"/>
      <c r="I49" s="39" t="s">
        <v>818</v>
      </c>
      <c r="J49" s="23" t="s">
        <v>71</v>
      </c>
      <c r="K49" s="23" t="s">
        <v>674</v>
      </c>
      <c r="L49" s="12"/>
      <c r="M49" s="243" t="s">
        <v>88</v>
      </c>
      <c r="N49" s="12">
        <f>R49</f>
        <v>5330.3</v>
      </c>
      <c r="O49" s="12"/>
      <c r="P49" s="12"/>
      <c r="Q49" s="12"/>
      <c r="R49" s="12">
        <v>5330.3</v>
      </c>
      <c r="S49" s="12">
        <f>W49</f>
        <v>5000</v>
      </c>
      <c r="T49" s="12"/>
      <c r="U49" s="12"/>
      <c r="V49" s="12"/>
      <c r="W49" s="12">
        <v>5000</v>
      </c>
      <c r="X49" s="12">
        <f>Y49+Z49+AA49+AB49</f>
        <v>5000</v>
      </c>
      <c r="Y49" s="12"/>
      <c r="Z49" s="12"/>
      <c r="AA49" s="12"/>
      <c r="AB49" s="12">
        <v>5000</v>
      </c>
      <c r="AC49" s="12">
        <f>AD49+AE49+AF49+AG49</f>
        <v>5000</v>
      </c>
      <c r="AD49" s="12"/>
      <c r="AE49" s="12"/>
      <c r="AF49" s="12"/>
      <c r="AG49" s="12">
        <v>5000</v>
      </c>
    </row>
    <row r="50" spans="1:33" ht="35.1" customHeight="1">
      <c r="A50" s="167"/>
      <c r="B50" s="24"/>
      <c r="C50" s="22" t="s">
        <v>95</v>
      </c>
      <c r="D50" s="22" t="s">
        <v>96</v>
      </c>
      <c r="E50" s="22" t="s">
        <v>97</v>
      </c>
      <c r="F50" s="22" t="s">
        <v>705</v>
      </c>
      <c r="G50" s="22" t="s">
        <v>71</v>
      </c>
      <c r="H50" s="22" t="s">
        <v>706</v>
      </c>
      <c r="I50" s="39" t="s">
        <v>639</v>
      </c>
      <c r="J50" s="39" t="s">
        <v>707</v>
      </c>
      <c r="K50" s="166" t="s">
        <v>640</v>
      </c>
      <c r="L50" s="12"/>
      <c r="M50" s="243" t="s">
        <v>94</v>
      </c>
      <c r="N50" s="12">
        <f>R50</f>
        <v>44689</v>
      </c>
      <c r="O50" s="12"/>
      <c r="P50" s="12"/>
      <c r="Q50" s="12"/>
      <c r="R50" s="12">
        <v>44689</v>
      </c>
      <c r="S50" s="12">
        <f>W50</f>
        <v>0</v>
      </c>
      <c r="T50" s="12"/>
      <c r="U50" s="12"/>
      <c r="V50" s="12"/>
      <c r="W50" s="12">
        <v>0</v>
      </c>
      <c r="X50" s="12">
        <f>Y50+Z50+AA50+AB50</f>
        <v>0</v>
      </c>
      <c r="Y50" s="12"/>
      <c r="Z50" s="12"/>
      <c r="AA50" s="12"/>
      <c r="AB50" s="12">
        <v>0</v>
      </c>
      <c r="AC50" s="12">
        <f>AD50+AE50+AF50+AG50</f>
        <v>0</v>
      </c>
      <c r="AD50" s="12"/>
      <c r="AE50" s="12"/>
      <c r="AF50" s="12"/>
      <c r="AG50" s="12">
        <v>0</v>
      </c>
    </row>
    <row r="51" spans="1:33" ht="35.1" customHeight="1">
      <c r="A51" s="167"/>
      <c r="B51" s="24"/>
      <c r="C51" s="187" t="s">
        <v>734</v>
      </c>
      <c r="D51" s="142" t="s">
        <v>735</v>
      </c>
      <c r="E51" s="143" t="s">
        <v>62</v>
      </c>
      <c r="F51" s="22" t="s">
        <v>89</v>
      </c>
      <c r="G51" s="22" t="s">
        <v>90</v>
      </c>
      <c r="H51" s="22" t="s">
        <v>91</v>
      </c>
      <c r="I51" s="23" t="s">
        <v>92</v>
      </c>
      <c r="J51" s="23" t="s">
        <v>93</v>
      </c>
      <c r="K51" s="23" t="s">
        <v>71</v>
      </c>
      <c r="L51" s="12"/>
      <c r="M51" s="243" t="s">
        <v>607</v>
      </c>
      <c r="N51" s="12">
        <f t="shared" ref="N51" si="20">R51</f>
        <v>464.2</v>
      </c>
      <c r="O51" s="12"/>
      <c r="P51" s="12"/>
      <c r="Q51" s="12"/>
      <c r="R51" s="12">
        <v>464.2</v>
      </c>
      <c r="S51" s="12">
        <v>0</v>
      </c>
      <c r="T51" s="12"/>
      <c r="U51" s="12"/>
      <c r="V51" s="12"/>
      <c r="W51" s="12">
        <v>0</v>
      </c>
      <c r="X51" s="12">
        <f t="shared" ref="X51" si="21">Y51+Z51+AA51+AB51</f>
        <v>0</v>
      </c>
      <c r="Y51" s="12"/>
      <c r="Z51" s="12"/>
      <c r="AA51" s="12"/>
      <c r="AB51" s="12">
        <v>0</v>
      </c>
      <c r="AC51" s="12">
        <f t="shared" ref="AC51" si="22">AD51+AE51+AF51+AG51</f>
        <v>0</v>
      </c>
      <c r="AD51" s="12"/>
      <c r="AE51" s="12"/>
      <c r="AF51" s="12"/>
      <c r="AG51" s="12">
        <v>0</v>
      </c>
    </row>
    <row r="52" spans="1:33" ht="35.1" customHeight="1">
      <c r="A52" s="51" t="s">
        <v>99</v>
      </c>
      <c r="B52" s="38">
        <v>2520</v>
      </c>
      <c r="C52" s="52"/>
      <c r="D52" s="19"/>
      <c r="E52" s="19"/>
      <c r="F52" s="19"/>
      <c r="G52" s="19"/>
      <c r="H52" s="19"/>
      <c r="I52" s="19"/>
      <c r="J52" s="19"/>
      <c r="K52" s="19"/>
      <c r="L52" s="19">
        <v>12</v>
      </c>
      <c r="M52" s="19"/>
      <c r="N52" s="19">
        <f>N53+N54</f>
        <v>2852.7</v>
      </c>
      <c r="O52" s="19">
        <f t="shared" ref="O52:AG52" si="23">O53+O54</f>
        <v>0</v>
      </c>
      <c r="P52" s="19">
        <f t="shared" si="23"/>
        <v>2615.1</v>
      </c>
      <c r="Q52" s="19">
        <f t="shared" si="23"/>
        <v>0</v>
      </c>
      <c r="R52" s="19">
        <f t="shared" si="23"/>
        <v>237.6</v>
      </c>
      <c r="S52" s="19">
        <f t="shared" si="23"/>
        <v>2852.7</v>
      </c>
      <c r="T52" s="19">
        <f t="shared" si="23"/>
        <v>0</v>
      </c>
      <c r="U52" s="19">
        <f t="shared" si="23"/>
        <v>2615.1</v>
      </c>
      <c r="V52" s="19">
        <f t="shared" si="23"/>
        <v>0</v>
      </c>
      <c r="W52" s="19">
        <f t="shared" si="23"/>
        <v>237.6</v>
      </c>
      <c r="X52" s="19">
        <f t="shared" si="23"/>
        <v>2852.7</v>
      </c>
      <c r="Y52" s="19">
        <f t="shared" si="23"/>
        <v>0</v>
      </c>
      <c r="Z52" s="19">
        <f t="shared" si="23"/>
        <v>2615.1</v>
      </c>
      <c r="AA52" s="19">
        <f t="shared" si="23"/>
        <v>0</v>
      </c>
      <c r="AB52" s="19">
        <f t="shared" si="23"/>
        <v>237.6</v>
      </c>
      <c r="AC52" s="19">
        <f t="shared" si="23"/>
        <v>2852.7</v>
      </c>
      <c r="AD52" s="19">
        <f t="shared" si="23"/>
        <v>0</v>
      </c>
      <c r="AE52" s="19">
        <f t="shared" si="23"/>
        <v>2615.1</v>
      </c>
      <c r="AF52" s="19">
        <f t="shared" si="23"/>
        <v>0</v>
      </c>
      <c r="AG52" s="19">
        <f t="shared" si="23"/>
        <v>237.6</v>
      </c>
    </row>
    <row r="53" spans="1:33" ht="35.1" customHeight="1">
      <c r="A53" s="35"/>
      <c r="B53" s="24"/>
      <c r="C53" s="22" t="s">
        <v>100</v>
      </c>
      <c r="D53" s="22" t="s">
        <v>101</v>
      </c>
      <c r="E53" s="22" t="s">
        <v>102</v>
      </c>
      <c r="F53" s="12"/>
      <c r="G53" s="12"/>
      <c r="H53" s="12"/>
      <c r="I53" s="62" t="s">
        <v>639</v>
      </c>
      <c r="J53" s="39" t="s">
        <v>708</v>
      </c>
      <c r="K53" s="166" t="s">
        <v>640</v>
      </c>
      <c r="L53" s="12"/>
      <c r="M53" s="23" t="s">
        <v>103</v>
      </c>
      <c r="N53" s="12">
        <f>O53+P53+Q53+R53</f>
        <v>100</v>
      </c>
      <c r="O53" s="12"/>
      <c r="P53" s="12"/>
      <c r="Q53" s="12"/>
      <c r="R53" s="12">
        <v>100</v>
      </c>
      <c r="S53" s="12">
        <f>T53+U53+V53+W53</f>
        <v>100</v>
      </c>
      <c r="T53" s="12"/>
      <c r="U53" s="12"/>
      <c r="V53" s="12"/>
      <c r="W53" s="12">
        <v>100</v>
      </c>
      <c r="X53" s="12">
        <f>Y53+Z53+AA53+AB53</f>
        <v>100</v>
      </c>
      <c r="Y53" s="12"/>
      <c r="Z53" s="12"/>
      <c r="AA53" s="12"/>
      <c r="AB53" s="12">
        <v>100</v>
      </c>
      <c r="AC53" s="12">
        <f>AD53+AE53+AF53+AG53</f>
        <v>100</v>
      </c>
      <c r="AD53" s="12"/>
      <c r="AE53" s="12"/>
      <c r="AF53" s="12"/>
      <c r="AG53" s="12">
        <v>100</v>
      </c>
    </row>
    <row r="54" spans="1:33" ht="35.1" customHeight="1">
      <c r="A54" s="35"/>
      <c r="B54" s="24"/>
      <c r="C54" s="187" t="s">
        <v>23</v>
      </c>
      <c r="D54" s="142" t="s">
        <v>709</v>
      </c>
      <c r="E54" s="143" t="s">
        <v>710</v>
      </c>
      <c r="F54" s="12"/>
      <c r="G54" s="12"/>
      <c r="H54" s="12"/>
      <c r="I54" s="145" t="s">
        <v>847</v>
      </c>
      <c r="J54" s="12" t="s">
        <v>71</v>
      </c>
      <c r="K54" s="23" t="s">
        <v>848</v>
      </c>
      <c r="L54" s="12"/>
      <c r="M54" s="23" t="s">
        <v>104</v>
      </c>
      <c r="N54" s="12">
        <f>O54+P54+Q54+R54</f>
        <v>2752.7</v>
      </c>
      <c r="O54" s="12"/>
      <c r="P54" s="12">
        <v>2615.1</v>
      </c>
      <c r="Q54" s="12"/>
      <c r="R54" s="12">
        <v>137.6</v>
      </c>
      <c r="S54" s="12">
        <f>T54+U54+V54+W54</f>
        <v>2752.7</v>
      </c>
      <c r="T54" s="12"/>
      <c r="U54" s="12">
        <v>2615.1</v>
      </c>
      <c r="V54" s="12"/>
      <c r="W54" s="12">
        <v>137.6</v>
      </c>
      <c r="X54" s="12">
        <f>Y54+Z54+AA54+AB54</f>
        <v>2752.7</v>
      </c>
      <c r="Y54" s="12"/>
      <c r="Z54" s="12">
        <v>2615.1</v>
      </c>
      <c r="AA54" s="12"/>
      <c r="AB54" s="12">
        <v>137.6</v>
      </c>
      <c r="AC54" s="12">
        <f>AD54+AE54+AF54+AG54</f>
        <v>2752.7</v>
      </c>
      <c r="AD54" s="12"/>
      <c r="AE54" s="12">
        <v>2615.1</v>
      </c>
      <c r="AF54" s="12"/>
      <c r="AG54" s="12">
        <v>137.6</v>
      </c>
    </row>
    <row r="55" spans="1:33" ht="35.1" customHeight="1">
      <c r="A55" s="51" t="s">
        <v>105</v>
      </c>
      <c r="B55" s="38">
        <v>2522</v>
      </c>
      <c r="C55" s="52"/>
      <c r="D55" s="19"/>
      <c r="E55" s="19"/>
      <c r="F55" s="19"/>
      <c r="G55" s="19"/>
      <c r="H55" s="19"/>
      <c r="I55" s="19"/>
      <c r="J55" s="19"/>
      <c r="K55" s="19"/>
      <c r="L55" s="19">
        <v>6</v>
      </c>
      <c r="M55" s="19"/>
      <c r="N55" s="19">
        <f>N59+N60+N61+N62+N63+N64+N65+N66+N67+N68+N56+N57+N58</f>
        <v>187126.40000000005</v>
      </c>
      <c r="O55" s="19">
        <f t="shared" ref="O55:AG55" si="24">O59+O60+O61+O62+O63+O64+O65+O66+O67+O68+O56+O57+O58</f>
        <v>0</v>
      </c>
      <c r="P55" s="19">
        <f t="shared" si="24"/>
        <v>14344.599999999999</v>
      </c>
      <c r="Q55" s="19">
        <f t="shared" si="24"/>
        <v>0</v>
      </c>
      <c r="R55" s="19">
        <f t="shared" si="24"/>
        <v>172781.80000000002</v>
      </c>
      <c r="S55" s="19">
        <f t="shared" si="24"/>
        <v>225492.00000000003</v>
      </c>
      <c r="T55" s="19">
        <f t="shared" si="24"/>
        <v>55437.599999999999</v>
      </c>
      <c r="U55" s="19">
        <f t="shared" si="24"/>
        <v>17847</v>
      </c>
      <c r="V55" s="19">
        <f t="shared" si="24"/>
        <v>0</v>
      </c>
      <c r="W55" s="19">
        <f t="shared" si="24"/>
        <v>152207.40000000002</v>
      </c>
      <c r="X55" s="19">
        <f t="shared" si="24"/>
        <v>152774.80000000002</v>
      </c>
      <c r="Y55" s="19">
        <f t="shared" si="24"/>
        <v>0</v>
      </c>
      <c r="Z55" s="19">
        <f t="shared" si="24"/>
        <v>1298</v>
      </c>
      <c r="AA55" s="19">
        <f t="shared" si="24"/>
        <v>0</v>
      </c>
      <c r="AB55" s="19">
        <f t="shared" si="24"/>
        <v>151476.80000000002</v>
      </c>
      <c r="AC55" s="19">
        <f t="shared" si="24"/>
        <v>152774.80000000002</v>
      </c>
      <c r="AD55" s="19">
        <f t="shared" si="24"/>
        <v>0</v>
      </c>
      <c r="AE55" s="19">
        <f t="shared" si="24"/>
        <v>1298</v>
      </c>
      <c r="AF55" s="19">
        <f t="shared" si="24"/>
        <v>0</v>
      </c>
      <c r="AG55" s="19">
        <f t="shared" si="24"/>
        <v>151476.80000000002</v>
      </c>
    </row>
    <row r="56" spans="1:33" ht="35.1" customHeight="1" thickBot="1">
      <c r="A56" s="13"/>
      <c r="B56" s="21"/>
      <c r="C56" s="197" t="s">
        <v>76</v>
      </c>
      <c r="D56" s="197" t="s">
        <v>106</v>
      </c>
      <c r="E56" s="197" t="s">
        <v>107</v>
      </c>
      <c r="F56" s="22" t="s">
        <v>108</v>
      </c>
      <c r="G56" s="22" t="s">
        <v>27</v>
      </c>
      <c r="H56" s="22" t="s">
        <v>109</v>
      </c>
      <c r="I56" s="39" t="s">
        <v>29</v>
      </c>
      <c r="J56" s="39" t="s">
        <v>675</v>
      </c>
      <c r="K56" s="166" t="s">
        <v>676</v>
      </c>
      <c r="L56" s="12"/>
      <c r="M56" s="23" t="s">
        <v>125</v>
      </c>
      <c r="N56" s="12">
        <f>O56+P56+Q56+R56</f>
        <v>1455.6</v>
      </c>
      <c r="O56" s="12"/>
      <c r="P56" s="12">
        <v>1298</v>
      </c>
      <c r="Q56" s="12"/>
      <c r="R56" s="12">
        <v>157.6</v>
      </c>
      <c r="S56" s="12">
        <f>T56+U56+V56+W56</f>
        <v>1455.6</v>
      </c>
      <c r="T56" s="12"/>
      <c r="U56" s="12">
        <v>1298</v>
      </c>
      <c r="V56" s="12"/>
      <c r="W56" s="12">
        <v>157.6</v>
      </c>
      <c r="X56" s="12">
        <f>Y56+Z56+AA56+AB56</f>
        <v>1455.6</v>
      </c>
      <c r="Y56" s="12"/>
      <c r="Z56" s="12">
        <v>1298</v>
      </c>
      <c r="AA56" s="12"/>
      <c r="AB56" s="12">
        <v>157.6</v>
      </c>
      <c r="AC56" s="12">
        <f>AD56+AE56+AF56+AG56</f>
        <v>1455.6</v>
      </c>
      <c r="AD56" s="12"/>
      <c r="AE56" s="12">
        <v>1298</v>
      </c>
      <c r="AF56" s="12"/>
      <c r="AG56" s="12">
        <v>157.6</v>
      </c>
    </row>
    <row r="57" spans="1:33" ht="35.1" customHeight="1">
      <c r="A57" s="35"/>
      <c r="B57" s="53"/>
      <c r="C57" s="194"/>
      <c r="D57" s="194"/>
      <c r="E57" s="194"/>
      <c r="F57" s="153" t="s">
        <v>110</v>
      </c>
      <c r="G57" s="191" t="s">
        <v>111</v>
      </c>
      <c r="H57" s="191" t="s">
        <v>112</v>
      </c>
      <c r="I57" s="192" t="s">
        <v>645</v>
      </c>
      <c r="J57" s="194" t="s">
        <v>111</v>
      </c>
      <c r="K57" s="55" t="s">
        <v>648</v>
      </c>
      <c r="L57" s="12"/>
      <c r="M57" s="23" t="s">
        <v>113</v>
      </c>
      <c r="N57" s="12">
        <f t="shared" ref="N57:N68" si="25">O57+P57+Q57+R57</f>
        <v>0</v>
      </c>
      <c r="O57" s="12"/>
      <c r="P57" s="12">
        <v>0</v>
      </c>
      <c r="Q57" s="12"/>
      <c r="R57" s="12"/>
      <c r="S57" s="12">
        <f t="shared" ref="S57:S68" si="26">T57+U57+V57+W57</f>
        <v>7603.7</v>
      </c>
      <c r="T57" s="12"/>
      <c r="U57" s="12">
        <f>7524.3</f>
        <v>7524.3</v>
      </c>
      <c r="V57" s="12"/>
      <c r="W57" s="12">
        <f>76+3.4</f>
        <v>79.400000000000006</v>
      </c>
      <c r="X57" s="12">
        <f>Y57+Z57+AA57+AB57</f>
        <v>0</v>
      </c>
      <c r="Y57" s="12"/>
      <c r="Z57" s="12">
        <v>0</v>
      </c>
      <c r="AA57" s="12"/>
      <c r="AB57" s="12">
        <v>0</v>
      </c>
      <c r="AC57" s="12">
        <f>AD57+AE57+AF57+AG57</f>
        <v>0</v>
      </c>
      <c r="AD57" s="12"/>
      <c r="AE57" s="12">
        <v>0</v>
      </c>
      <c r="AF57" s="12"/>
      <c r="AG57" s="12">
        <v>0</v>
      </c>
    </row>
    <row r="58" spans="1:33" ht="35.1" customHeight="1">
      <c r="A58" s="35"/>
      <c r="B58" s="53"/>
      <c r="C58" s="194"/>
      <c r="D58" s="194"/>
      <c r="E58" s="194"/>
      <c r="F58" s="194"/>
      <c r="G58" s="194"/>
      <c r="H58" s="25"/>
      <c r="I58" s="55"/>
      <c r="J58" s="194"/>
      <c r="K58" s="55"/>
      <c r="L58" s="12"/>
      <c r="M58" s="23" t="s">
        <v>114</v>
      </c>
      <c r="N58" s="12">
        <f t="shared" si="25"/>
        <v>0</v>
      </c>
      <c r="O58" s="12">
        <v>0</v>
      </c>
      <c r="P58" s="12">
        <v>0</v>
      </c>
      <c r="Q58" s="12"/>
      <c r="R58" s="12"/>
      <c r="S58" s="12">
        <f t="shared" si="26"/>
        <v>65113.5</v>
      </c>
      <c r="T58" s="12">
        <v>55437.599999999999</v>
      </c>
      <c r="U58" s="12">
        <v>9024.7000000000007</v>
      </c>
      <c r="V58" s="12"/>
      <c r="W58" s="12">
        <v>651.20000000000005</v>
      </c>
      <c r="X58" s="12">
        <v>0</v>
      </c>
      <c r="Y58" s="12">
        <v>0</v>
      </c>
      <c r="Z58" s="12">
        <v>0</v>
      </c>
      <c r="AA58" s="12"/>
      <c r="AB58" s="12">
        <v>0</v>
      </c>
      <c r="AC58" s="12">
        <f>AD58+AE58+AF58+AG58</f>
        <v>0</v>
      </c>
      <c r="AD58" s="12">
        <v>0</v>
      </c>
      <c r="AE58" s="12">
        <v>0</v>
      </c>
      <c r="AF58" s="12"/>
      <c r="AG58" s="12">
        <v>0</v>
      </c>
    </row>
    <row r="59" spans="1:33" ht="35.1" customHeight="1" thickBot="1">
      <c r="A59" s="13"/>
      <c r="B59" s="21"/>
      <c r="C59" s="194"/>
      <c r="D59" s="194"/>
      <c r="E59" s="194"/>
      <c r="F59" s="55"/>
      <c r="G59" s="194"/>
      <c r="H59" s="194"/>
      <c r="I59" s="55"/>
      <c r="J59" s="194"/>
      <c r="K59" s="55"/>
      <c r="L59" s="12"/>
      <c r="M59" s="23" t="s">
        <v>115</v>
      </c>
      <c r="N59" s="12">
        <f t="shared" si="25"/>
        <v>10660.7</v>
      </c>
      <c r="O59" s="12"/>
      <c r="P59" s="12"/>
      <c r="Q59" s="12"/>
      <c r="R59" s="12">
        <f>5514+5146.7</f>
        <v>10660.7</v>
      </c>
      <c r="S59" s="12">
        <f t="shared" si="26"/>
        <v>5514</v>
      </c>
      <c r="T59" s="12"/>
      <c r="U59" s="12"/>
      <c r="V59" s="12"/>
      <c r="W59" s="12">
        <v>5514</v>
      </c>
      <c r="X59" s="12">
        <f t="shared" ref="X59:X68" si="27">Y59+Z59+AA59+AB59</f>
        <v>5514</v>
      </c>
      <c r="Y59" s="12"/>
      <c r="Z59" s="12"/>
      <c r="AA59" s="12"/>
      <c r="AB59" s="12">
        <v>5514</v>
      </c>
      <c r="AC59" s="12">
        <f t="shared" ref="AC59:AC68" si="28">AD59+AE59+AF59+AG59</f>
        <v>5514</v>
      </c>
      <c r="AD59" s="12"/>
      <c r="AE59" s="12"/>
      <c r="AF59" s="12"/>
      <c r="AG59" s="12">
        <v>5514</v>
      </c>
    </row>
    <row r="60" spans="1:33" ht="35.1" customHeight="1" thickBot="1">
      <c r="A60" s="13"/>
      <c r="B60" s="21"/>
      <c r="C60" s="194"/>
      <c r="D60" s="194"/>
      <c r="E60" s="194"/>
      <c r="F60" s="55"/>
      <c r="G60" s="194"/>
      <c r="H60" s="194"/>
      <c r="I60" s="55"/>
      <c r="J60" s="194"/>
      <c r="K60" s="55"/>
      <c r="L60" s="12"/>
      <c r="M60" s="23" t="s">
        <v>116</v>
      </c>
      <c r="N60" s="12">
        <f t="shared" si="25"/>
        <v>2319.6999999999998</v>
      </c>
      <c r="O60" s="12"/>
      <c r="P60" s="12"/>
      <c r="Q60" s="12"/>
      <c r="R60" s="12">
        <v>2319.6999999999998</v>
      </c>
      <c r="S60" s="12">
        <f t="shared" si="26"/>
        <v>0</v>
      </c>
      <c r="T60" s="12"/>
      <c r="U60" s="12"/>
      <c r="V60" s="12"/>
      <c r="W60" s="12">
        <v>0</v>
      </c>
      <c r="X60" s="12">
        <f t="shared" si="27"/>
        <v>0</v>
      </c>
      <c r="Y60" s="12"/>
      <c r="Z60" s="12"/>
      <c r="AA60" s="12"/>
      <c r="AB60" s="12">
        <v>0</v>
      </c>
      <c r="AC60" s="12">
        <f t="shared" si="28"/>
        <v>0</v>
      </c>
      <c r="AD60" s="12"/>
      <c r="AE60" s="12"/>
      <c r="AF60" s="12"/>
      <c r="AG60" s="12">
        <v>0</v>
      </c>
    </row>
    <row r="61" spans="1:33" ht="35.1" customHeight="1" thickBot="1">
      <c r="A61" s="13"/>
      <c r="B61" s="21"/>
      <c r="C61" s="194"/>
      <c r="D61" s="194"/>
      <c r="E61" s="194"/>
      <c r="F61" s="55"/>
      <c r="G61" s="194"/>
      <c r="H61" s="194"/>
      <c r="I61" s="55"/>
      <c r="J61" s="194"/>
      <c r="K61" s="55"/>
      <c r="L61" s="12"/>
      <c r="M61" s="23" t="s">
        <v>117</v>
      </c>
      <c r="N61" s="12">
        <f t="shared" si="25"/>
        <v>1713.8000000000002</v>
      </c>
      <c r="O61" s="12"/>
      <c r="P61" s="12"/>
      <c r="Q61" s="12"/>
      <c r="R61" s="12">
        <f>836.7+877.1</f>
        <v>1713.8000000000002</v>
      </c>
      <c r="S61" s="12">
        <f t="shared" si="26"/>
        <v>836.7</v>
      </c>
      <c r="T61" s="12"/>
      <c r="U61" s="12"/>
      <c r="V61" s="12"/>
      <c r="W61" s="12">
        <v>836.7</v>
      </c>
      <c r="X61" s="12">
        <f t="shared" si="27"/>
        <v>836.7</v>
      </c>
      <c r="Y61" s="12"/>
      <c r="Z61" s="12"/>
      <c r="AA61" s="12"/>
      <c r="AB61" s="12">
        <v>836.7</v>
      </c>
      <c r="AC61" s="12">
        <f t="shared" si="28"/>
        <v>836.7</v>
      </c>
      <c r="AD61" s="12"/>
      <c r="AE61" s="12"/>
      <c r="AF61" s="12"/>
      <c r="AG61" s="12">
        <v>836.7</v>
      </c>
    </row>
    <row r="62" spans="1:33" ht="35.1" customHeight="1" thickBot="1">
      <c r="A62" s="13"/>
      <c r="B62" s="21"/>
      <c r="C62" s="194"/>
      <c r="D62" s="194"/>
      <c r="E62" s="194"/>
      <c r="F62" s="55"/>
      <c r="G62" s="194"/>
      <c r="H62" s="194"/>
      <c r="I62" s="55"/>
      <c r="J62" s="194"/>
      <c r="K62" s="55"/>
      <c r="L62" s="12"/>
      <c r="M62" s="23" t="s">
        <v>118</v>
      </c>
      <c r="N62" s="12">
        <f t="shared" si="25"/>
        <v>195</v>
      </c>
      <c r="O62" s="12"/>
      <c r="P62" s="12"/>
      <c r="Q62" s="12"/>
      <c r="R62" s="12">
        <v>195</v>
      </c>
      <c r="S62" s="12">
        <f t="shared" si="26"/>
        <v>0</v>
      </c>
      <c r="T62" s="12"/>
      <c r="U62" s="12"/>
      <c r="V62" s="12"/>
      <c r="W62" s="12">
        <v>0</v>
      </c>
      <c r="X62" s="12">
        <f t="shared" si="27"/>
        <v>0</v>
      </c>
      <c r="Y62" s="12"/>
      <c r="Z62" s="12"/>
      <c r="AA62" s="12"/>
      <c r="AB62" s="12">
        <v>0</v>
      </c>
      <c r="AC62" s="12">
        <f t="shared" si="28"/>
        <v>0</v>
      </c>
      <c r="AD62" s="12"/>
      <c r="AE62" s="12"/>
      <c r="AF62" s="12"/>
      <c r="AG62" s="12">
        <v>0</v>
      </c>
    </row>
    <row r="63" spans="1:33" ht="35.1" customHeight="1" thickBot="1">
      <c r="A63" s="13"/>
      <c r="B63" s="21"/>
      <c r="C63" s="194"/>
      <c r="D63" s="194"/>
      <c r="E63" s="194"/>
      <c r="F63" s="55"/>
      <c r="G63" s="194"/>
      <c r="H63" s="194"/>
      <c r="I63" s="55"/>
      <c r="J63" s="194"/>
      <c r="K63" s="55"/>
      <c r="L63" s="12"/>
      <c r="M63" s="23" t="s">
        <v>119</v>
      </c>
      <c r="N63" s="12">
        <f t="shared" si="25"/>
        <v>19325.900000000001</v>
      </c>
      <c r="O63" s="12"/>
      <c r="P63" s="12"/>
      <c r="Q63" s="12"/>
      <c r="R63" s="12">
        <v>19325.900000000001</v>
      </c>
      <c r="S63" s="12">
        <f t="shared" si="26"/>
        <v>19325.900000000001</v>
      </c>
      <c r="T63" s="12"/>
      <c r="U63" s="12"/>
      <c r="V63" s="12"/>
      <c r="W63" s="12">
        <v>19325.900000000001</v>
      </c>
      <c r="X63" s="12">
        <f t="shared" si="27"/>
        <v>19325.900000000001</v>
      </c>
      <c r="Y63" s="12"/>
      <c r="Z63" s="12"/>
      <c r="AA63" s="12"/>
      <c r="AB63" s="12">
        <v>19325.900000000001</v>
      </c>
      <c r="AC63" s="12">
        <f t="shared" si="28"/>
        <v>19325.900000000001</v>
      </c>
      <c r="AD63" s="12"/>
      <c r="AE63" s="12"/>
      <c r="AF63" s="12"/>
      <c r="AG63" s="12">
        <v>19325.900000000001</v>
      </c>
    </row>
    <row r="64" spans="1:33" ht="35.1" customHeight="1" thickBot="1">
      <c r="A64" s="13"/>
      <c r="B64" s="21"/>
      <c r="C64" s="194"/>
      <c r="D64" s="194"/>
      <c r="E64" s="194"/>
      <c r="F64" s="55"/>
      <c r="G64" s="194"/>
      <c r="H64" s="194"/>
      <c r="I64" s="25"/>
      <c r="J64" s="194"/>
      <c r="K64" s="55"/>
      <c r="L64" s="12"/>
      <c r="M64" s="23" t="s">
        <v>120</v>
      </c>
      <c r="N64" s="12">
        <f t="shared" si="25"/>
        <v>3710.8</v>
      </c>
      <c r="O64" s="12"/>
      <c r="P64" s="12"/>
      <c r="Q64" s="12"/>
      <c r="R64" s="12">
        <v>3710.8</v>
      </c>
      <c r="S64" s="12">
        <f t="shared" si="26"/>
        <v>3710.8</v>
      </c>
      <c r="T64" s="12"/>
      <c r="U64" s="12"/>
      <c r="V64" s="12"/>
      <c r="W64" s="12">
        <v>3710.8</v>
      </c>
      <c r="X64" s="12">
        <f t="shared" si="27"/>
        <v>3710.8</v>
      </c>
      <c r="Y64" s="12"/>
      <c r="Z64" s="12"/>
      <c r="AA64" s="12"/>
      <c r="AB64" s="12">
        <v>3710.8</v>
      </c>
      <c r="AC64" s="12">
        <f t="shared" si="28"/>
        <v>3710.8</v>
      </c>
      <c r="AD64" s="12"/>
      <c r="AE64" s="12"/>
      <c r="AF64" s="12"/>
      <c r="AG64" s="12">
        <v>3710.8</v>
      </c>
    </row>
    <row r="65" spans="1:33" ht="35.1" customHeight="1" thickBot="1">
      <c r="A65" s="13"/>
      <c r="B65" s="21"/>
      <c r="C65" s="194"/>
      <c r="D65" s="194"/>
      <c r="E65" s="194"/>
      <c r="F65" s="55"/>
      <c r="G65" s="194"/>
      <c r="H65" s="194"/>
      <c r="I65" s="25"/>
      <c r="J65" s="194"/>
      <c r="K65" s="55"/>
      <c r="L65" s="12"/>
      <c r="M65" s="23" t="s">
        <v>121</v>
      </c>
      <c r="N65" s="12">
        <f t="shared" si="25"/>
        <v>22186.5</v>
      </c>
      <c r="O65" s="12"/>
      <c r="P65" s="12"/>
      <c r="Q65" s="12"/>
      <c r="R65" s="12">
        <f>17277.7+2735.1+2173.7</f>
        <v>22186.5</v>
      </c>
      <c r="S65" s="12">
        <f t="shared" si="26"/>
        <v>20012.8</v>
      </c>
      <c r="T65" s="12"/>
      <c r="U65" s="12"/>
      <c r="V65" s="12"/>
      <c r="W65" s="12">
        <v>20012.8</v>
      </c>
      <c r="X65" s="12">
        <f t="shared" si="27"/>
        <v>20012.8</v>
      </c>
      <c r="Y65" s="12"/>
      <c r="Z65" s="12"/>
      <c r="AA65" s="12"/>
      <c r="AB65" s="12">
        <v>20012.8</v>
      </c>
      <c r="AC65" s="12">
        <f t="shared" si="28"/>
        <v>20012.8</v>
      </c>
      <c r="AD65" s="12"/>
      <c r="AE65" s="12"/>
      <c r="AF65" s="12"/>
      <c r="AG65" s="12">
        <v>20012.8</v>
      </c>
    </row>
    <row r="66" spans="1:33" ht="35.1" customHeight="1" thickBot="1">
      <c r="A66" s="13"/>
      <c r="B66" s="21"/>
      <c r="C66" s="194"/>
      <c r="D66" s="194"/>
      <c r="E66" s="194"/>
      <c r="F66" s="55"/>
      <c r="G66" s="194"/>
      <c r="H66" s="194"/>
      <c r="I66" s="25"/>
      <c r="J66" s="194"/>
      <c r="K66" s="55"/>
      <c r="L66" s="12"/>
      <c r="M66" s="23" t="s">
        <v>122</v>
      </c>
      <c r="N66" s="12">
        <f t="shared" si="25"/>
        <v>2795.5</v>
      </c>
      <c r="O66" s="12"/>
      <c r="P66" s="12"/>
      <c r="Q66" s="12"/>
      <c r="R66" s="12">
        <f>2523.1+272.4</f>
        <v>2795.5</v>
      </c>
      <c r="S66" s="12">
        <f t="shared" si="26"/>
        <v>2523.1</v>
      </c>
      <c r="T66" s="12"/>
      <c r="U66" s="12"/>
      <c r="V66" s="12"/>
      <c r="W66" s="12">
        <v>2523.1</v>
      </c>
      <c r="X66" s="12">
        <f t="shared" si="27"/>
        <v>2523.1</v>
      </c>
      <c r="Y66" s="12"/>
      <c r="Z66" s="12"/>
      <c r="AA66" s="12"/>
      <c r="AB66" s="12">
        <v>2523.1</v>
      </c>
      <c r="AC66" s="12">
        <f t="shared" si="28"/>
        <v>2523.1</v>
      </c>
      <c r="AD66" s="12"/>
      <c r="AE66" s="12"/>
      <c r="AF66" s="12"/>
      <c r="AG66" s="12">
        <v>2523.1</v>
      </c>
    </row>
    <row r="67" spans="1:33" ht="35.1" customHeight="1" thickBot="1">
      <c r="A67" s="13"/>
      <c r="B67" s="21"/>
      <c r="C67" s="194"/>
      <c r="D67" s="194"/>
      <c r="E67" s="194"/>
      <c r="F67" s="55"/>
      <c r="G67" s="194"/>
      <c r="H67" s="194"/>
      <c r="I67" s="25"/>
      <c r="J67" s="194"/>
      <c r="K67" s="55"/>
      <c r="L67" s="12"/>
      <c r="M67" s="23" t="s">
        <v>123</v>
      </c>
      <c r="N67" s="12">
        <f t="shared" si="25"/>
        <v>103820.70000000001</v>
      </c>
      <c r="O67" s="12"/>
      <c r="P67" s="12">
        <v>11042.8</v>
      </c>
      <c r="Q67" s="12"/>
      <c r="R67" s="12">
        <f>73896+9803.7+0.1+9078.1</f>
        <v>92777.900000000009</v>
      </c>
      <c r="S67" s="12">
        <f t="shared" si="26"/>
        <v>83699.8</v>
      </c>
      <c r="T67" s="12"/>
      <c r="U67" s="12"/>
      <c r="V67" s="12"/>
      <c r="W67" s="12">
        <f>73896+9803.8</f>
        <v>83699.8</v>
      </c>
      <c r="X67" s="12">
        <f t="shared" si="27"/>
        <v>83699.8</v>
      </c>
      <c r="Y67" s="12"/>
      <c r="Z67" s="12"/>
      <c r="AA67" s="12"/>
      <c r="AB67" s="12">
        <f>73896+9803.8</f>
        <v>83699.8</v>
      </c>
      <c r="AC67" s="12">
        <f t="shared" si="28"/>
        <v>83699.8</v>
      </c>
      <c r="AD67" s="12"/>
      <c r="AE67" s="12"/>
      <c r="AF67" s="12"/>
      <c r="AG67" s="12">
        <f>73896+9803.8</f>
        <v>83699.8</v>
      </c>
    </row>
    <row r="68" spans="1:33" ht="35.1" customHeight="1" thickBot="1">
      <c r="A68" s="13"/>
      <c r="B68" s="21"/>
      <c r="C68" s="194"/>
      <c r="D68" s="194"/>
      <c r="E68" s="194"/>
      <c r="F68" s="55"/>
      <c r="G68" s="194"/>
      <c r="H68" s="194"/>
      <c r="I68" s="25"/>
      <c r="J68" s="194"/>
      <c r="K68" s="55"/>
      <c r="L68" s="12"/>
      <c r="M68" s="23" t="s">
        <v>124</v>
      </c>
      <c r="N68" s="12">
        <f t="shared" si="25"/>
        <v>18942.2</v>
      </c>
      <c r="O68" s="12"/>
      <c r="P68" s="12">
        <v>2003.8</v>
      </c>
      <c r="Q68" s="12"/>
      <c r="R68" s="12">
        <f>15696.1+1242.3</f>
        <v>16938.400000000001</v>
      </c>
      <c r="S68" s="12">
        <f t="shared" si="26"/>
        <v>15696.1</v>
      </c>
      <c r="T68" s="12"/>
      <c r="U68" s="12"/>
      <c r="V68" s="12"/>
      <c r="W68" s="12">
        <v>15696.1</v>
      </c>
      <c r="X68" s="12">
        <f t="shared" si="27"/>
        <v>15696.1</v>
      </c>
      <c r="Y68" s="12"/>
      <c r="Z68" s="12"/>
      <c r="AA68" s="12"/>
      <c r="AB68" s="12">
        <v>15696.1</v>
      </c>
      <c r="AC68" s="12">
        <f t="shared" si="28"/>
        <v>15696.1</v>
      </c>
      <c r="AD68" s="12"/>
      <c r="AE68" s="12"/>
      <c r="AF68" s="12"/>
      <c r="AG68" s="12">
        <v>15696.1</v>
      </c>
    </row>
    <row r="69" spans="1:33" ht="35.1" customHeight="1" thickBot="1">
      <c r="A69" s="16" t="s">
        <v>126</v>
      </c>
      <c r="B69" s="56">
        <v>2523</v>
      </c>
      <c r="C69" s="18"/>
      <c r="D69" s="18"/>
      <c r="E69" s="18"/>
      <c r="F69" s="18"/>
      <c r="G69" s="18"/>
      <c r="H69" s="18"/>
      <c r="I69" s="18"/>
      <c r="J69" s="18"/>
      <c r="K69" s="19"/>
      <c r="L69" s="19">
        <v>6</v>
      </c>
      <c r="M69" s="19"/>
      <c r="N69" s="19">
        <f>N70+N71+N74+N75+N76+N77+N78+N79+N82+N83+N84+N85+N86+N87+N88+N72+N73+N80+N81</f>
        <v>167246.59999999998</v>
      </c>
      <c r="O69" s="19">
        <f t="shared" ref="O69:AG69" si="29">O70+O71+O74+O75+O76+O77+O78+O79+O82+O83+O84+O85+O86+O87+O88+O72+O73+O80+O81</f>
        <v>45088.7</v>
      </c>
      <c r="P69" s="19">
        <f t="shared" si="29"/>
        <v>22714.9</v>
      </c>
      <c r="Q69" s="19">
        <f t="shared" si="29"/>
        <v>0</v>
      </c>
      <c r="R69" s="19">
        <f t="shared" si="29"/>
        <v>99443.000000000015</v>
      </c>
      <c r="S69" s="19">
        <f t="shared" si="29"/>
        <v>127631.39999999998</v>
      </c>
      <c r="T69" s="19">
        <f t="shared" si="29"/>
        <v>35813.599999999999</v>
      </c>
      <c r="U69" s="19">
        <f t="shared" si="29"/>
        <v>9462.9000000000015</v>
      </c>
      <c r="V69" s="19">
        <f t="shared" si="29"/>
        <v>0</v>
      </c>
      <c r="W69" s="19">
        <f t="shared" si="29"/>
        <v>82354.900000000009</v>
      </c>
      <c r="X69" s="19">
        <f t="shared" si="29"/>
        <v>127436.89999999997</v>
      </c>
      <c r="Y69" s="19">
        <f t="shared" si="29"/>
        <v>35483.1</v>
      </c>
      <c r="Z69" s="19">
        <f t="shared" si="29"/>
        <v>9598.9</v>
      </c>
      <c r="AA69" s="19">
        <f t="shared" si="29"/>
        <v>0</v>
      </c>
      <c r="AB69" s="19">
        <f t="shared" si="29"/>
        <v>82354.900000000009</v>
      </c>
      <c r="AC69" s="19">
        <f t="shared" si="29"/>
        <v>127436.89999999997</v>
      </c>
      <c r="AD69" s="19">
        <f t="shared" si="29"/>
        <v>35483.1</v>
      </c>
      <c r="AE69" s="19">
        <f t="shared" si="29"/>
        <v>9598.9</v>
      </c>
      <c r="AF69" s="19">
        <f t="shared" si="29"/>
        <v>0</v>
      </c>
      <c r="AG69" s="19">
        <f t="shared" si="29"/>
        <v>82354.900000000009</v>
      </c>
    </row>
    <row r="70" spans="1:33" ht="35.1" customHeight="1" thickBot="1">
      <c r="A70" s="13"/>
      <c r="B70" s="36"/>
      <c r="C70" s="25" t="s">
        <v>127</v>
      </c>
      <c r="D70" s="25" t="s">
        <v>128</v>
      </c>
      <c r="E70" s="25" t="s">
        <v>129</v>
      </c>
      <c r="F70" s="57" t="s">
        <v>677</v>
      </c>
      <c r="G70" s="25" t="s">
        <v>678</v>
      </c>
      <c r="H70" s="25" t="s">
        <v>679</v>
      </c>
      <c r="I70" s="39" t="s">
        <v>857</v>
      </c>
      <c r="J70" s="39" t="s">
        <v>71</v>
      </c>
      <c r="K70" s="166" t="s">
        <v>858</v>
      </c>
      <c r="L70" s="12"/>
      <c r="M70" s="49" t="s">
        <v>130</v>
      </c>
      <c r="N70" s="12">
        <f>O70+P70+Q70+R70</f>
        <v>6200.7</v>
      </c>
      <c r="O70" s="12"/>
      <c r="P70" s="12">
        <v>6193.9</v>
      </c>
      <c r="Q70" s="12"/>
      <c r="R70" s="12">
        <v>6.8</v>
      </c>
      <c r="S70" s="12">
        <f>T70+U70+V70+W70</f>
        <v>6200.7</v>
      </c>
      <c r="T70" s="12"/>
      <c r="U70" s="12">
        <v>6193.9</v>
      </c>
      <c r="V70" s="12"/>
      <c r="W70" s="12">
        <v>6.8</v>
      </c>
      <c r="X70" s="12">
        <f>Y70+Z70+AA70+AB70</f>
        <v>6200.7</v>
      </c>
      <c r="Y70" s="12"/>
      <c r="Z70" s="12">
        <v>6193.9</v>
      </c>
      <c r="AA70" s="12"/>
      <c r="AB70" s="12">
        <v>6.8</v>
      </c>
      <c r="AC70" s="12">
        <f>AD70+AE70+AF70+AG70</f>
        <v>6200.7</v>
      </c>
      <c r="AD70" s="12"/>
      <c r="AE70" s="12">
        <v>6193.9</v>
      </c>
      <c r="AF70" s="12"/>
      <c r="AG70" s="12">
        <v>6.8</v>
      </c>
    </row>
    <row r="71" spans="1:33" ht="35.1" customHeight="1" thickBot="1">
      <c r="A71" s="13"/>
      <c r="B71" s="36"/>
      <c r="C71" s="197" t="s">
        <v>76</v>
      </c>
      <c r="D71" s="197" t="s">
        <v>106</v>
      </c>
      <c r="E71" s="197" t="s">
        <v>107</v>
      </c>
      <c r="F71" s="25" t="s">
        <v>680</v>
      </c>
      <c r="G71" s="25" t="s">
        <v>111</v>
      </c>
      <c r="H71" s="25" t="s">
        <v>681</v>
      </c>
      <c r="I71" s="58" t="s">
        <v>131</v>
      </c>
      <c r="J71" s="194" t="s">
        <v>111</v>
      </c>
      <c r="K71" s="25" t="s">
        <v>682</v>
      </c>
      <c r="L71" s="12"/>
      <c r="M71" s="49" t="s">
        <v>132</v>
      </c>
      <c r="N71" s="12">
        <f>O71+P71+Q71+R71</f>
        <v>589.29999999999995</v>
      </c>
      <c r="O71" s="12"/>
      <c r="P71" s="12">
        <v>589.29999999999995</v>
      </c>
      <c r="Q71" s="12"/>
      <c r="R71" s="12"/>
      <c r="S71" s="12">
        <f>T71+U71+V71+W71</f>
        <v>589.29999999999995</v>
      </c>
      <c r="T71" s="12"/>
      <c r="U71" s="12">
        <v>589.29999999999995</v>
      </c>
      <c r="V71" s="12"/>
      <c r="W71" s="12"/>
      <c r="X71" s="12">
        <f>Y71+Z71+AA71+AB71</f>
        <v>589.29999999999995</v>
      </c>
      <c r="Y71" s="12"/>
      <c r="Z71" s="12">
        <v>589.29999999999995</v>
      </c>
      <c r="AA71" s="12"/>
      <c r="AB71" s="12"/>
      <c r="AC71" s="12">
        <f>AD71+AE71+AF71+AG71</f>
        <v>589.29999999999995</v>
      </c>
      <c r="AD71" s="12"/>
      <c r="AE71" s="12">
        <v>589.29999999999995</v>
      </c>
      <c r="AF71" s="12"/>
      <c r="AG71" s="12"/>
    </row>
    <row r="72" spans="1:33" ht="35.1" customHeight="1" thickBot="1">
      <c r="A72" s="13"/>
      <c r="B72" s="21"/>
      <c r="C72" s="194"/>
      <c r="D72" s="194"/>
      <c r="E72" s="194"/>
      <c r="F72" s="55" t="s">
        <v>133</v>
      </c>
      <c r="G72" s="194" t="s">
        <v>111</v>
      </c>
      <c r="H72" s="25" t="s">
        <v>683</v>
      </c>
      <c r="I72" s="54" t="s">
        <v>721</v>
      </c>
      <c r="J72" s="194" t="s">
        <v>71</v>
      </c>
      <c r="K72" s="55" t="s">
        <v>722</v>
      </c>
      <c r="L72" s="12"/>
      <c r="M72" s="23" t="s">
        <v>134</v>
      </c>
      <c r="N72" s="12">
        <f t="shared" ref="N72:N75" si="30">O72+P72+Q72+R72</f>
        <v>585.9</v>
      </c>
      <c r="O72" s="12">
        <v>585.9</v>
      </c>
      <c r="P72" s="12"/>
      <c r="Q72" s="12"/>
      <c r="R72" s="12"/>
      <c r="S72" s="12">
        <f t="shared" ref="S72:S75" si="31">T72+U72+V72+W72</f>
        <v>585.9</v>
      </c>
      <c r="T72" s="12">
        <v>585.9</v>
      </c>
      <c r="U72" s="12"/>
      <c r="V72" s="12"/>
      <c r="W72" s="12"/>
      <c r="X72" s="12">
        <f t="shared" ref="X72:X75" si="32">Y72+Z72+AA72+AB72</f>
        <v>585.9</v>
      </c>
      <c r="Y72" s="12">
        <v>585.9</v>
      </c>
      <c r="Z72" s="12"/>
      <c r="AA72" s="12"/>
      <c r="AB72" s="12"/>
      <c r="AC72" s="12">
        <f t="shared" ref="AC72:AC75" si="33">AD72+AE72+AF72+AG72</f>
        <v>585.9</v>
      </c>
      <c r="AD72" s="12">
        <v>585.9</v>
      </c>
      <c r="AE72" s="12"/>
      <c r="AF72" s="12"/>
      <c r="AG72" s="12"/>
    </row>
    <row r="73" spans="1:33" ht="35.1" customHeight="1" thickBot="1">
      <c r="A73" s="13"/>
      <c r="B73" s="21"/>
      <c r="C73" s="197" t="s">
        <v>76</v>
      </c>
      <c r="D73" s="197" t="s">
        <v>106</v>
      </c>
      <c r="E73" s="197" t="s">
        <v>107</v>
      </c>
      <c r="F73" s="194" t="s">
        <v>723</v>
      </c>
      <c r="G73" s="194" t="s">
        <v>111</v>
      </c>
      <c r="H73" s="25" t="s">
        <v>724</v>
      </c>
      <c r="I73" s="54" t="s">
        <v>721</v>
      </c>
      <c r="J73" s="194" t="s">
        <v>71</v>
      </c>
      <c r="K73" s="55" t="s">
        <v>722</v>
      </c>
      <c r="L73" s="12"/>
      <c r="M73" s="23" t="s">
        <v>135</v>
      </c>
      <c r="N73" s="12">
        <f t="shared" si="30"/>
        <v>117.2</v>
      </c>
      <c r="O73" s="12">
        <v>117.2</v>
      </c>
      <c r="P73" s="12"/>
      <c r="Q73" s="12"/>
      <c r="R73" s="12"/>
      <c r="S73" s="12">
        <f t="shared" si="31"/>
        <v>117.2</v>
      </c>
      <c r="T73" s="12">
        <v>117.2</v>
      </c>
      <c r="U73" s="12"/>
      <c r="V73" s="12"/>
      <c r="W73" s="12"/>
      <c r="X73" s="12">
        <f t="shared" si="32"/>
        <v>117.2</v>
      </c>
      <c r="Y73" s="12">
        <v>117.2</v>
      </c>
      <c r="Z73" s="12"/>
      <c r="AA73" s="12"/>
      <c r="AB73" s="12"/>
      <c r="AC73" s="12">
        <f t="shared" si="33"/>
        <v>117.2</v>
      </c>
      <c r="AD73" s="12">
        <v>117.2</v>
      </c>
      <c r="AE73" s="12"/>
      <c r="AF73" s="12"/>
      <c r="AG73" s="12"/>
    </row>
    <row r="74" spans="1:33" ht="35.1" customHeight="1" thickBot="1">
      <c r="A74" s="13"/>
      <c r="B74" s="21"/>
      <c r="C74" s="194"/>
      <c r="D74" s="194"/>
      <c r="E74" s="194"/>
      <c r="F74" s="194" t="s">
        <v>725</v>
      </c>
      <c r="G74" s="194" t="s">
        <v>71</v>
      </c>
      <c r="H74" s="59" t="s">
        <v>726</v>
      </c>
      <c r="I74" s="54" t="s">
        <v>727</v>
      </c>
      <c r="J74" s="194" t="s">
        <v>111</v>
      </c>
      <c r="K74" s="26">
        <v>47118</v>
      </c>
      <c r="L74" s="12"/>
      <c r="M74" s="23" t="s">
        <v>136</v>
      </c>
      <c r="N74" s="12">
        <f t="shared" si="30"/>
        <v>25076.5</v>
      </c>
      <c r="O74" s="12">
        <v>25076.5</v>
      </c>
      <c r="P74" s="12"/>
      <c r="Q74" s="12"/>
      <c r="R74" s="12"/>
      <c r="S74" s="12">
        <f t="shared" si="31"/>
        <v>25076.5</v>
      </c>
      <c r="T74" s="12">
        <v>25076.5</v>
      </c>
      <c r="U74" s="12"/>
      <c r="V74" s="12"/>
      <c r="W74" s="12"/>
      <c r="X74" s="12">
        <f t="shared" si="32"/>
        <v>24842.1</v>
      </c>
      <c r="Y74" s="12">
        <v>24842.1</v>
      </c>
      <c r="Z74" s="12"/>
      <c r="AA74" s="12"/>
      <c r="AB74" s="12"/>
      <c r="AC74" s="12">
        <f t="shared" si="33"/>
        <v>24842.1</v>
      </c>
      <c r="AD74" s="12">
        <v>24842.1</v>
      </c>
      <c r="AE74" s="12"/>
      <c r="AF74" s="12"/>
      <c r="AG74" s="12"/>
    </row>
    <row r="75" spans="1:33" ht="35.1" customHeight="1" thickBot="1">
      <c r="A75" s="13"/>
      <c r="B75" s="21"/>
      <c r="C75" s="194"/>
      <c r="D75" s="194"/>
      <c r="E75" s="194"/>
      <c r="F75" s="194" t="s">
        <v>725</v>
      </c>
      <c r="G75" s="194" t="s">
        <v>71</v>
      </c>
      <c r="H75" s="59" t="s">
        <v>726</v>
      </c>
      <c r="I75" s="54" t="s">
        <v>727</v>
      </c>
      <c r="J75" s="194" t="s">
        <v>111</v>
      </c>
      <c r="K75" s="26">
        <v>47118</v>
      </c>
      <c r="L75" s="12"/>
      <c r="M75" s="23" t="s">
        <v>137</v>
      </c>
      <c r="N75" s="12">
        <f t="shared" si="30"/>
        <v>7265.2</v>
      </c>
      <c r="O75" s="12">
        <v>7265.2</v>
      </c>
      <c r="P75" s="12"/>
      <c r="Q75" s="12"/>
      <c r="R75" s="12"/>
      <c r="S75" s="12">
        <f t="shared" si="31"/>
        <v>7265.2</v>
      </c>
      <c r="T75" s="12">
        <v>7265.2</v>
      </c>
      <c r="U75" s="12"/>
      <c r="V75" s="12"/>
      <c r="W75" s="12"/>
      <c r="X75" s="12">
        <f t="shared" si="32"/>
        <v>7265.2</v>
      </c>
      <c r="Y75" s="12">
        <v>7265.2</v>
      </c>
      <c r="Z75" s="12"/>
      <c r="AA75" s="12"/>
      <c r="AB75" s="12"/>
      <c r="AC75" s="12">
        <f t="shared" si="33"/>
        <v>7265.2</v>
      </c>
      <c r="AD75" s="12">
        <v>7265.2</v>
      </c>
      <c r="AE75" s="12"/>
      <c r="AF75" s="12"/>
      <c r="AG75" s="12"/>
    </row>
    <row r="76" spans="1:33" ht="35.1" customHeight="1" thickBot="1">
      <c r="A76" s="13"/>
      <c r="B76" s="21"/>
      <c r="C76" s="194"/>
      <c r="D76" s="194"/>
      <c r="E76" s="194"/>
      <c r="F76" s="55" t="s">
        <v>728</v>
      </c>
      <c r="G76" s="194" t="s">
        <v>71</v>
      </c>
      <c r="H76" s="194" t="s">
        <v>729</v>
      </c>
      <c r="I76" s="194" t="s">
        <v>730</v>
      </c>
      <c r="J76" s="194" t="s">
        <v>71</v>
      </c>
      <c r="K76" s="55" t="s">
        <v>731</v>
      </c>
      <c r="L76" s="12"/>
      <c r="M76" s="23" t="s">
        <v>138</v>
      </c>
      <c r="N76" s="12">
        <f>O76+P76+Q76+R76</f>
        <v>2409.6999999999998</v>
      </c>
      <c r="O76" s="12"/>
      <c r="P76" s="12">
        <v>2229</v>
      </c>
      <c r="Q76" s="12"/>
      <c r="R76" s="12">
        <v>180.7</v>
      </c>
      <c r="S76" s="12">
        <f>T76+U76+V76+W76</f>
        <v>2409.6999999999998</v>
      </c>
      <c r="T76" s="12"/>
      <c r="U76" s="12">
        <v>2229</v>
      </c>
      <c r="V76" s="12"/>
      <c r="W76" s="12">
        <v>180.7</v>
      </c>
      <c r="X76" s="12">
        <f>Y76+Z76+AA76+AB76</f>
        <v>2409.6999999999998</v>
      </c>
      <c r="Y76" s="12"/>
      <c r="Z76" s="12">
        <v>2229</v>
      </c>
      <c r="AA76" s="12"/>
      <c r="AB76" s="12">
        <v>180.7</v>
      </c>
      <c r="AC76" s="12">
        <f>AD76+AE76+AF76+AG76</f>
        <v>2409.6999999999998</v>
      </c>
      <c r="AD76" s="12"/>
      <c r="AE76" s="12">
        <v>2229</v>
      </c>
      <c r="AF76" s="12"/>
      <c r="AG76" s="12">
        <v>180.7</v>
      </c>
    </row>
    <row r="77" spans="1:33" ht="35.1" customHeight="1" thickBot="1">
      <c r="A77" s="13"/>
      <c r="B77" s="21"/>
      <c r="C77" s="194"/>
      <c r="D77" s="194"/>
      <c r="E77" s="194"/>
      <c r="F77" s="144" t="s">
        <v>732</v>
      </c>
      <c r="G77" s="194" t="s">
        <v>111</v>
      </c>
      <c r="H77" s="59" t="s">
        <v>733</v>
      </c>
      <c r="I77" s="194" t="s">
        <v>855</v>
      </c>
      <c r="J77" s="194" t="s">
        <v>111</v>
      </c>
      <c r="K77" s="26" t="s">
        <v>856</v>
      </c>
      <c r="L77" s="12"/>
      <c r="M77" s="23" t="s">
        <v>139</v>
      </c>
      <c r="N77" s="12">
        <f>O77+P77+Q77+R77</f>
        <v>16289.9</v>
      </c>
      <c r="O77" s="12">
        <v>9514.9</v>
      </c>
      <c r="P77" s="12">
        <v>6612.1</v>
      </c>
      <c r="Q77" s="12"/>
      <c r="R77" s="12">
        <v>162.9</v>
      </c>
      <c r="S77" s="12">
        <f>T77+U77+V77+W77</f>
        <v>0</v>
      </c>
      <c r="T77" s="12">
        <v>0</v>
      </c>
      <c r="U77" s="12">
        <v>0</v>
      </c>
      <c r="V77" s="12"/>
      <c r="W77" s="12">
        <v>0</v>
      </c>
      <c r="X77" s="12">
        <f>Y77+Z77+AA77+AB77</f>
        <v>0</v>
      </c>
      <c r="Y77" s="12">
        <v>0</v>
      </c>
      <c r="Z77" s="12">
        <v>0</v>
      </c>
      <c r="AA77" s="12"/>
      <c r="AB77" s="12">
        <v>0</v>
      </c>
      <c r="AC77" s="12">
        <f>AD77+AE77+AF77+AG77</f>
        <v>0</v>
      </c>
      <c r="AD77" s="12">
        <v>0</v>
      </c>
      <c r="AE77" s="12">
        <v>0</v>
      </c>
      <c r="AF77" s="12"/>
      <c r="AG77" s="12">
        <v>0</v>
      </c>
    </row>
    <row r="78" spans="1:33" ht="35.1" customHeight="1" thickBot="1">
      <c r="A78" s="16"/>
      <c r="B78" s="56"/>
      <c r="C78" s="23"/>
      <c r="D78" s="23"/>
      <c r="E78" s="23"/>
      <c r="F78" s="23" t="s">
        <v>141</v>
      </c>
      <c r="G78" s="11" t="s">
        <v>111</v>
      </c>
      <c r="H78" s="215" t="s">
        <v>684</v>
      </c>
      <c r="I78" s="39" t="s">
        <v>859</v>
      </c>
      <c r="J78" s="171" t="s">
        <v>71</v>
      </c>
      <c r="K78" s="39" t="s">
        <v>860</v>
      </c>
      <c r="L78" s="19"/>
      <c r="M78" s="23" t="s">
        <v>140</v>
      </c>
      <c r="N78" s="12">
        <f t="shared" ref="N78:N88" si="34">O78+P78+Q78+R78</f>
        <v>2103.6000000000004</v>
      </c>
      <c r="O78" s="12">
        <f>2272-378.6-0.1</f>
        <v>1893.3000000000002</v>
      </c>
      <c r="P78" s="12">
        <v>210.3</v>
      </c>
      <c r="Q78" s="12"/>
      <c r="R78" s="12"/>
      <c r="S78" s="12">
        <f t="shared" ref="S78:S88" si="35">T78+U78+V78+W78</f>
        <v>2682.9</v>
      </c>
      <c r="T78" s="12">
        <v>2307.3000000000002</v>
      </c>
      <c r="U78" s="12">
        <v>375.6</v>
      </c>
      <c r="V78" s="12"/>
      <c r="W78" s="12"/>
      <c r="X78" s="12">
        <f t="shared" ref="X78:X88" si="36">Y78+Z78+AA78+AB78</f>
        <v>2716.2000000000003</v>
      </c>
      <c r="Y78" s="12">
        <v>2227.3000000000002</v>
      </c>
      <c r="Z78" s="12">
        <v>488.9</v>
      </c>
      <c r="AA78" s="12"/>
      <c r="AB78" s="12"/>
      <c r="AC78" s="12">
        <f t="shared" ref="AC78:AC88" si="37">AD78+AE78+AF78+AG78</f>
        <v>2716.2000000000003</v>
      </c>
      <c r="AD78" s="12">
        <v>2227.3000000000002</v>
      </c>
      <c r="AE78" s="12">
        <v>488.9</v>
      </c>
      <c r="AF78" s="12"/>
      <c r="AG78" s="12"/>
    </row>
    <row r="79" spans="1:33" ht="35.1" customHeight="1" thickBot="1">
      <c r="A79" s="16"/>
      <c r="B79" s="56"/>
      <c r="C79" s="23"/>
      <c r="D79" s="23"/>
      <c r="E79" s="23"/>
      <c r="F79" s="209"/>
      <c r="G79" s="209"/>
      <c r="H79" s="209"/>
      <c r="I79" s="39" t="s">
        <v>859</v>
      </c>
      <c r="J79" s="171" t="s">
        <v>71</v>
      </c>
      <c r="K79" s="39" t="s">
        <v>860</v>
      </c>
      <c r="L79" s="19"/>
      <c r="M79" s="23" t="s">
        <v>142</v>
      </c>
      <c r="N79" s="12">
        <f t="shared" si="34"/>
        <v>420.8</v>
      </c>
      <c r="O79" s="12">
        <v>378.7</v>
      </c>
      <c r="P79" s="12">
        <v>42.1</v>
      </c>
      <c r="Q79" s="12"/>
      <c r="R79" s="12"/>
      <c r="S79" s="12">
        <f t="shared" si="35"/>
        <v>536.6</v>
      </c>
      <c r="T79" s="12">
        <v>461.5</v>
      </c>
      <c r="U79" s="12">
        <v>75.099999999999994</v>
      </c>
      <c r="V79" s="12"/>
      <c r="W79" s="12"/>
      <c r="X79" s="12">
        <f t="shared" si="36"/>
        <v>543.19999999999993</v>
      </c>
      <c r="Y79" s="12">
        <v>445.4</v>
      </c>
      <c r="Z79" s="12">
        <v>97.8</v>
      </c>
      <c r="AA79" s="12"/>
      <c r="AB79" s="12"/>
      <c r="AC79" s="12">
        <f t="shared" si="37"/>
        <v>543.19999999999993</v>
      </c>
      <c r="AD79" s="12">
        <v>445.4</v>
      </c>
      <c r="AE79" s="12">
        <v>97.8</v>
      </c>
      <c r="AF79" s="12"/>
      <c r="AG79" s="12"/>
    </row>
    <row r="80" spans="1:33" ht="35.1" customHeight="1" thickBot="1">
      <c r="A80" s="16"/>
      <c r="B80" s="56"/>
      <c r="C80" s="23"/>
      <c r="D80" s="23"/>
      <c r="E80" s="23"/>
      <c r="F80" s="23"/>
      <c r="G80" s="11"/>
      <c r="H80" s="23"/>
      <c r="I80" s="168" t="s">
        <v>853</v>
      </c>
      <c r="J80" s="171" t="s">
        <v>71</v>
      </c>
      <c r="K80" s="39" t="s">
        <v>854</v>
      </c>
      <c r="L80" s="64"/>
      <c r="M80" s="23" t="s">
        <v>143</v>
      </c>
      <c r="N80" s="12">
        <f t="shared" si="34"/>
        <v>142.80000000000001</v>
      </c>
      <c r="O80" s="12">
        <v>128.5</v>
      </c>
      <c r="P80" s="12">
        <v>14.3</v>
      </c>
      <c r="Q80" s="12"/>
      <c r="R80" s="12"/>
      <c r="S80" s="12">
        <v>0</v>
      </c>
      <c r="T80" s="12">
        <v>0</v>
      </c>
      <c r="U80" s="12">
        <v>0</v>
      </c>
      <c r="V80" s="12"/>
      <c r="W80" s="12"/>
      <c r="X80" s="12">
        <v>0</v>
      </c>
      <c r="Y80" s="12">
        <v>0</v>
      </c>
      <c r="Z80" s="12">
        <v>0</v>
      </c>
      <c r="AA80" s="12"/>
      <c r="AB80" s="12"/>
      <c r="AC80" s="12">
        <v>0</v>
      </c>
      <c r="AD80" s="12">
        <v>0</v>
      </c>
      <c r="AE80" s="12">
        <v>0</v>
      </c>
      <c r="AF80" s="12"/>
      <c r="AG80" s="12"/>
    </row>
    <row r="81" spans="1:33" ht="35.1" customHeight="1" thickBot="1">
      <c r="A81" s="16"/>
      <c r="B81" s="56"/>
      <c r="C81" s="23"/>
      <c r="D81" s="23"/>
      <c r="E81" s="23"/>
      <c r="F81" s="23"/>
      <c r="G81" s="11"/>
      <c r="H81" s="23"/>
      <c r="I81" s="216"/>
      <c r="J81" s="64"/>
      <c r="K81" s="64"/>
      <c r="L81" s="64"/>
      <c r="M81" s="23" t="s">
        <v>144</v>
      </c>
      <c r="N81" s="12">
        <f t="shared" si="34"/>
        <v>142.80000000000001</v>
      </c>
      <c r="O81" s="12">
        <v>128.5</v>
      </c>
      <c r="P81" s="12">
        <v>14.3</v>
      </c>
      <c r="Q81" s="12"/>
      <c r="R81" s="12"/>
      <c r="S81" s="12">
        <v>0</v>
      </c>
      <c r="T81" s="12">
        <v>0</v>
      </c>
      <c r="U81" s="12">
        <v>0</v>
      </c>
      <c r="V81" s="12"/>
      <c r="W81" s="12"/>
      <c r="X81" s="12">
        <v>0</v>
      </c>
      <c r="Y81" s="12">
        <v>0</v>
      </c>
      <c r="Z81" s="12">
        <v>0</v>
      </c>
      <c r="AA81" s="12"/>
      <c r="AB81" s="12"/>
      <c r="AC81" s="12">
        <v>0</v>
      </c>
      <c r="AD81" s="12">
        <v>0</v>
      </c>
      <c r="AE81" s="12">
        <v>0</v>
      </c>
      <c r="AF81" s="12"/>
      <c r="AG81" s="12"/>
    </row>
    <row r="82" spans="1:33" ht="35.1" customHeight="1" thickBot="1">
      <c r="A82" s="13"/>
      <c r="B82" s="21"/>
      <c r="C82" s="194"/>
      <c r="D82" s="194"/>
      <c r="E82" s="194"/>
      <c r="F82" s="194"/>
      <c r="G82" s="194"/>
      <c r="H82" s="194"/>
      <c r="I82" s="216"/>
      <c r="J82" s="194"/>
      <c r="K82" s="55"/>
      <c r="L82" s="23"/>
      <c r="M82" s="23" t="s">
        <v>145</v>
      </c>
      <c r="N82" s="12">
        <f t="shared" si="34"/>
        <v>7414.3000000000011</v>
      </c>
      <c r="O82" s="12"/>
      <c r="P82" s="12"/>
      <c r="Q82" s="12"/>
      <c r="R82" s="12">
        <f>5638.6+1775.6+0.1</f>
        <v>7414.3000000000011</v>
      </c>
      <c r="S82" s="12">
        <f t="shared" si="35"/>
        <v>5638.6</v>
      </c>
      <c r="T82" s="12"/>
      <c r="U82" s="12"/>
      <c r="V82" s="12"/>
      <c r="W82" s="12">
        <v>5638.6</v>
      </c>
      <c r="X82" s="12">
        <f t="shared" si="36"/>
        <v>5638.6</v>
      </c>
      <c r="Y82" s="12"/>
      <c r="Z82" s="12"/>
      <c r="AA82" s="12"/>
      <c r="AB82" s="12">
        <v>5638.6</v>
      </c>
      <c r="AC82" s="12">
        <f t="shared" si="37"/>
        <v>5638.6</v>
      </c>
      <c r="AD82" s="12"/>
      <c r="AE82" s="12"/>
      <c r="AF82" s="12"/>
      <c r="AG82" s="12">
        <v>5638.6</v>
      </c>
    </row>
    <row r="83" spans="1:33" ht="35.1" customHeight="1" thickBot="1">
      <c r="A83" s="13"/>
      <c r="B83" s="21"/>
      <c r="C83" s="194"/>
      <c r="D83" s="194"/>
      <c r="E83" s="194"/>
      <c r="F83" s="194"/>
      <c r="G83" s="194"/>
      <c r="H83" s="194"/>
      <c r="I83" s="216"/>
      <c r="J83" s="194" t="s">
        <v>111</v>
      </c>
      <c r="K83" s="55" t="s">
        <v>685</v>
      </c>
      <c r="L83" s="23"/>
      <c r="M83" s="23" t="s">
        <v>146</v>
      </c>
      <c r="N83" s="12">
        <f t="shared" si="34"/>
        <v>7309.7</v>
      </c>
      <c r="O83" s="12"/>
      <c r="P83" s="12"/>
      <c r="Q83" s="12"/>
      <c r="R83" s="12">
        <f>42+7267.7</f>
        <v>7309.7</v>
      </c>
      <c r="S83" s="12">
        <f t="shared" si="35"/>
        <v>42</v>
      </c>
      <c r="T83" s="12"/>
      <c r="U83" s="12"/>
      <c r="V83" s="12"/>
      <c r="W83" s="12">
        <v>42</v>
      </c>
      <c r="X83" s="12">
        <f t="shared" si="36"/>
        <v>42</v>
      </c>
      <c r="Y83" s="12"/>
      <c r="Z83" s="12"/>
      <c r="AA83" s="12"/>
      <c r="AB83" s="12">
        <v>42</v>
      </c>
      <c r="AC83" s="12">
        <f t="shared" si="37"/>
        <v>42</v>
      </c>
      <c r="AD83" s="12"/>
      <c r="AE83" s="12"/>
      <c r="AF83" s="12"/>
      <c r="AG83" s="12">
        <v>42</v>
      </c>
    </row>
    <row r="84" spans="1:33" ht="35.1" customHeight="1" thickBot="1">
      <c r="A84" s="13"/>
      <c r="B84" s="21"/>
      <c r="C84" s="194"/>
      <c r="D84" s="194"/>
      <c r="E84" s="194"/>
      <c r="F84" s="194"/>
      <c r="G84" s="194"/>
      <c r="H84" s="194"/>
      <c r="I84" s="55"/>
      <c r="J84" s="194"/>
      <c r="K84" s="55"/>
      <c r="L84" s="12"/>
      <c r="M84" s="23" t="s">
        <v>147</v>
      </c>
      <c r="N84" s="12">
        <f t="shared" si="34"/>
        <v>2678.8</v>
      </c>
      <c r="O84" s="12"/>
      <c r="P84" s="12"/>
      <c r="Q84" s="12"/>
      <c r="R84" s="12">
        <f>756.3+1922.5</f>
        <v>2678.8</v>
      </c>
      <c r="S84" s="12">
        <f t="shared" si="35"/>
        <v>756.3</v>
      </c>
      <c r="T84" s="12"/>
      <c r="U84" s="12"/>
      <c r="V84" s="12"/>
      <c r="W84" s="12">
        <v>756.3</v>
      </c>
      <c r="X84" s="12">
        <f t="shared" si="36"/>
        <v>756.3</v>
      </c>
      <c r="Y84" s="12"/>
      <c r="Z84" s="12"/>
      <c r="AA84" s="12"/>
      <c r="AB84" s="12">
        <v>756.3</v>
      </c>
      <c r="AC84" s="12">
        <f t="shared" si="37"/>
        <v>756.3</v>
      </c>
      <c r="AD84" s="12"/>
      <c r="AE84" s="12"/>
      <c r="AF84" s="12"/>
      <c r="AG84" s="12">
        <v>756.3</v>
      </c>
    </row>
    <row r="85" spans="1:33" ht="35.1" customHeight="1" thickBot="1">
      <c r="A85" s="13"/>
      <c r="B85" s="21"/>
      <c r="C85" s="194"/>
      <c r="D85" s="194"/>
      <c r="E85" s="194"/>
      <c r="F85" s="194"/>
      <c r="G85" s="194"/>
      <c r="H85" s="194"/>
      <c r="I85" s="55"/>
      <c r="J85" s="194"/>
      <c r="K85" s="55"/>
      <c r="L85" s="12"/>
      <c r="M85" s="23" t="s">
        <v>148</v>
      </c>
      <c r="N85" s="12">
        <f t="shared" si="34"/>
        <v>18746.800000000003</v>
      </c>
      <c r="O85" s="12"/>
      <c r="P85" s="12"/>
      <c r="Q85" s="12"/>
      <c r="R85" s="12">
        <f>15465.4+1445+1836.4</f>
        <v>18746.800000000003</v>
      </c>
      <c r="S85" s="12">
        <f t="shared" si="35"/>
        <v>16910.400000000001</v>
      </c>
      <c r="T85" s="12"/>
      <c r="U85" s="12"/>
      <c r="V85" s="12"/>
      <c r="W85" s="12">
        <v>16910.400000000001</v>
      </c>
      <c r="X85" s="12">
        <f t="shared" si="36"/>
        <v>16910.400000000001</v>
      </c>
      <c r="Y85" s="12"/>
      <c r="Z85" s="12"/>
      <c r="AA85" s="12"/>
      <c r="AB85" s="12">
        <v>16910.400000000001</v>
      </c>
      <c r="AC85" s="12">
        <f t="shared" si="37"/>
        <v>16910.400000000001</v>
      </c>
      <c r="AD85" s="12"/>
      <c r="AE85" s="12"/>
      <c r="AF85" s="12"/>
      <c r="AG85" s="12">
        <v>16910.400000000001</v>
      </c>
    </row>
    <row r="86" spans="1:33" ht="35.1" customHeight="1" thickBot="1">
      <c r="A86" s="13"/>
      <c r="B86" s="21"/>
      <c r="C86" s="194"/>
      <c r="D86" s="194"/>
      <c r="E86" s="194"/>
      <c r="F86" s="194"/>
      <c r="G86" s="194"/>
      <c r="H86" s="194"/>
      <c r="I86" s="55"/>
      <c r="J86" s="194"/>
      <c r="K86" s="55"/>
      <c r="L86" s="12"/>
      <c r="M86" s="23" t="s">
        <v>149</v>
      </c>
      <c r="N86" s="12">
        <f t="shared" si="34"/>
        <v>8113.9</v>
      </c>
      <c r="O86" s="12"/>
      <c r="P86" s="12"/>
      <c r="Q86" s="12"/>
      <c r="R86" s="12">
        <f>7310.9+803</f>
        <v>8113.9</v>
      </c>
      <c r="S86" s="12">
        <f t="shared" si="35"/>
        <v>7310.9</v>
      </c>
      <c r="T86" s="12"/>
      <c r="U86" s="12"/>
      <c r="V86" s="12"/>
      <c r="W86" s="12">
        <v>7310.9</v>
      </c>
      <c r="X86" s="12">
        <f t="shared" si="36"/>
        <v>7310.9</v>
      </c>
      <c r="Y86" s="12"/>
      <c r="Z86" s="12"/>
      <c r="AA86" s="12"/>
      <c r="AB86" s="12">
        <v>7310.9</v>
      </c>
      <c r="AC86" s="12">
        <f t="shared" si="37"/>
        <v>7310.9</v>
      </c>
      <c r="AD86" s="12"/>
      <c r="AE86" s="12"/>
      <c r="AF86" s="12"/>
      <c r="AG86" s="12">
        <v>7310.9</v>
      </c>
    </row>
    <row r="87" spans="1:33" ht="35.1" customHeight="1" thickBot="1">
      <c r="A87" s="13"/>
      <c r="B87" s="21"/>
      <c r="C87" s="194"/>
      <c r="D87" s="194"/>
      <c r="E87" s="194"/>
      <c r="F87" s="194"/>
      <c r="G87" s="194"/>
      <c r="H87" s="194"/>
      <c r="I87" s="55"/>
      <c r="J87" s="194"/>
      <c r="K87" s="55"/>
      <c r="L87" s="12"/>
      <c r="M87" s="23" t="s">
        <v>150</v>
      </c>
      <c r="N87" s="12">
        <f t="shared" si="34"/>
        <v>49745.4</v>
      </c>
      <c r="O87" s="12"/>
      <c r="P87" s="12">
        <v>5768.6</v>
      </c>
      <c r="Q87" s="12"/>
      <c r="R87" s="12">
        <f>39723.9+2046.6+2206.3</f>
        <v>43976.800000000003</v>
      </c>
      <c r="S87" s="12">
        <f t="shared" si="35"/>
        <v>41770.5</v>
      </c>
      <c r="T87" s="12"/>
      <c r="U87" s="12"/>
      <c r="V87" s="12"/>
      <c r="W87" s="12">
        <f>39723.9+2046.6</f>
        <v>41770.5</v>
      </c>
      <c r="X87" s="12">
        <f t="shared" si="36"/>
        <v>41770.5</v>
      </c>
      <c r="Y87" s="12"/>
      <c r="Z87" s="12"/>
      <c r="AA87" s="12"/>
      <c r="AB87" s="12">
        <f>39723.9+2046.6</f>
        <v>41770.5</v>
      </c>
      <c r="AC87" s="12">
        <f t="shared" si="37"/>
        <v>41770.5</v>
      </c>
      <c r="AD87" s="12"/>
      <c r="AE87" s="12"/>
      <c r="AF87" s="12"/>
      <c r="AG87" s="12">
        <f>39723.9+2046.6</f>
        <v>41770.5</v>
      </c>
    </row>
    <row r="88" spans="1:33" ht="35.1" customHeight="1" thickBot="1">
      <c r="A88" s="13"/>
      <c r="B88" s="21"/>
      <c r="C88" s="194"/>
      <c r="D88" s="194"/>
      <c r="E88" s="194"/>
      <c r="F88" s="194"/>
      <c r="G88" s="194"/>
      <c r="H88" s="194"/>
      <c r="I88" s="194" t="s">
        <v>686</v>
      </c>
      <c r="J88" s="194" t="s">
        <v>111</v>
      </c>
      <c r="K88" s="55" t="s">
        <v>687</v>
      </c>
      <c r="L88" s="12"/>
      <c r="M88" s="23" t="s">
        <v>152</v>
      </c>
      <c r="N88" s="12">
        <f t="shared" si="34"/>
        <v>11893.3</v>
      </c>
      <c r="O88" s="12"/>
      <c r="P88" s="12">
        <v>1041</v>
      </c>
      <c r="Q88" s="12"/>
      <c r="R88" s="12">
        <f>9738.8+1113.5</f>
        <v>10852.3</v>
      </c>
      <c r="S88" s="12">
        <f t="shared" si="35"/>
        <v>9738.7000000000007</v>
      </c>
      <c r="T88" s="12"/>
      <c r="U88" s="12"/>
      <c r="V88" s="12"/>
      <c r="W88" s="12">
        <v>9738.7000000000007</v>
      </c>
      <c r="X88" s="12">
        <f t="shared" si="36"/>
        <v>9738.7000000000007</v>
      </c>
      <c r="Y88" s="12"/>
      <c r="Z88" s="12"/>
      <c r="AA88" s="12"/>
      <c r="AB88" s="12">
        <v>9738.7000000000007</v>
      </c>
      <c r="AC88" s="12">
        <f t="shared" si="37"/>
        <v>9738.7000000000007</v>
      </c>
      <c r="AD88" s="12"/>
      <c r="AE88" s="12"/>
      <c r="AF88" s="12"/>
      <c r="AG88" s="12">
        <v>9738.7000000000007</v>
      </c>
    </row>
    <row r="89" spans="1:33" ht="35.1" customHeight="1" thickBot="1">
      <c r="A89" s="16" t="s">
        <v>153</v>
      </c>
      <c r="B89" s="17">
        <v>2525</v>
      </c>
      <c r="C89" s="18"/>
      <c r="D89" s="19"/>
      <c r="E89" s="19"/>
      <c r="F89" s="19"/>
      <c r="G89" s="19"/>
      <c r="H89" s="19"/>
      <c r="I89" s="19"/>
      <c r="J89" s="19"/>
      <c r="K89" s="19"/>
      <c r="L89" s="19">
        <v>6</v>
      </c>
      <c r="M89" s="19"/>
      <c r="N89" s="19">
        <f>N94+N96+N100+N102+N103+N104+N105+N95+N92+N93+N97+N98+N101+N99+N91+N90</f>
        <v>127756.00000000001</v>
      </c>
      <c r="O89" s="19">
        <f t="shared" ref="O89:AG89" si="38">O94+O96+O100+O102+O103+O104+O105+O95+O92+O93+O97+O98+O101+O99+O91+O90</f>
        <v>0</v>
      </c>
      <c r="P89" s="19">
        <f t="shared" si="38"/>
        <v>10538.600000000002</v>
      </c>
      <c r="Q89" s="19">
        <f t="shared" si="38"/>
        <v>0</v>
      </c>
      <c r="R89" s="19">
        <f t="shared" si="38"/>
        <v>117217.40000000002</v>
      </c>
      <c r="S89" s="19">
        <f t="shared" si="38"/>
        <v>116153.09999999999</v>
      </c>
      <c r="T89" s="19">
        <f t="shared" si="38"/>
        <v>0</v>
      </c>
      <c r="U89" s="19">
        <f t="shared" si="38"/>
        <v>0</v>
      </c>
      <c r="V89" s="19">
        <f t="shared" si="38"/>
        <v>0</v>
      </c>
      <c r="W89" s="19">
        <f t="shared" si="38"/>
        <v>116153.09999999999</v>
      </c>
      <c r="X89" s="19">
        <f t="shared" si="38"/>
        <v>116718.2</v>
      </c>
      <c r="Y89" s="19">
        <f t="shared" si="38"/>
        <v>0</v>
      </c>
      <c r="Z89" s="19">
        <f t="shared" si="38"/>
        <v>0</v>
      </c>
      <c r="AA89" s="19">
        <f t="shared" si="38"/>
        <v>0</v>
      </c>
      <c r="AB89" s="19">
        <f t="shared" si="38"/>
        <v>116718.2</v>
      </c>
      <c r="AC89" s="19">
        <f t="shared" si="38"/>
        <v>116718.2</v>
      </c>
      <c r="AD89" s="19">
        <f t="shared" si="38"/>
        <v>0</v>
      </c>
      <c r="AE89" s="19">
        <f t="shared" si="38"/>
        <v>0</v>
      </c>
      <c r="AF89" s="19">
        <f t="shared" si="38"/>
        <v>0</v>
      </c>
      <c r="AG89" s="19">
        <f t="shared" si="38"/>
        <v>116718.2</v>
      </c>
    </row>
    <row r="90" spans="1:33" ht="35.1" customHeight="1" thickBot="1">
      <c r="A90" s="13"/>
      <c r="B90" s="28"/>
      <c r="C90" s="148"/>
      <c r="D90" s="37"/>
      <c r="E90" s="37"/>
      <c r="F90" s="12"/>
      <c r="G90" s="12"/>
      <c r="H90" s="12"/>
      <c r="I90" s="39" t="s">
        <v>863</v>
      </c>
      <c r="J90" s="39" t="s">
        <v>71</v>
      </c>
      <c r="K90" s="166" t="s">
        <v>864</v>
      </c>
      <c r="L90" s="12"/>
      <c r="M90" s="23" t="s">
        <v>617</v>
      </c>
      <c r="N90" s="12">
        <f>O90+P90+Q90+R90</f>
        <v>593</v>
      </c>
      <c r="O90" s="12"/>
      <c r="P90" s="12">
        <f>595.9-3+0.1</f>
        <v>593</v>
      </c>
      <c r="Q90" s="12"/>
      <c r="R90" s="12"/>
      <c r="S90" s="12">
        <v>0</v>
      </c>
      <c r="T90" s="12"/>
      <c r="U90" s="12">
        <v>0</v>
      </c>
      <c r="V90" s="12"/>
      <c r="W90" s="12">
        <v>0</v>
      </c>
      <c r="X90" s="12">
        <v>0</v>
      </c>
      <c r="Y90" s="12"/>
      <c r="Z90" s="12">
        <v>0</v>
      </c>
      <c r="AA90" s="12"/>
      <c r="AB90" s="12">
        <v>0</v>
      </c>
      <c r="AC90" s="12">
        <v>0</v>
      </c>
      <c r="AD90" s="12"/>
      <c r="AE90" s="12">
        <v>0</v>
      </c>
      <c r="AF90" s="12"/>
      <c r="AG90" s="12">
        <v>0</v>
      </c>
    </row>
    <row r="91" spans="1:33" ht="35.1" customHeight="1" thickBot="1">
      <c r="A91" s="13"/>
      <c r="B91" s="28"/>
      <c r="C91" s="148"/>
      <c r="D91" s="37"/>
      <c r="E91" s="37"/>
      <c r="F91" s="12"/>
      <c r="G91" s="12"/>
      <c r="H91" s="12"/>
      <c r="I91" s="192" t="s">
        <v>645</v>
      </c>
      <c r="J91" s="189" t="s">
        <v>111</v>
      </c>
      <c r="K91" s="192" t="s">
        <v>648</v>
      </c>
      <c r="L91" s="12"/>
      <c r="M91" s="23" t="s">
        <v>154</v>
      </c>
      <c r="N91" s="12">
        <f>O91+P91+Q91+R91</f>
        <v>240</v>
      </c>
      <c r="O91" s="12"/>
      <c r="P91" s="12">
        <v>231.7</v>
      </c>
      <c r="Q91" s="12"/>
      <c r="R91" s="12">
        <v>8.3000000000000007</v>
      </c>
      <c r="S91" s="12">
        <v>0</v>
      </c>
      <c r="T91" s="12"/>
      <c r="U91" s="12">
        <v>0</v>
      </c>
      <c r="V91" s="12"/>
      <c r="W91" s="12">
        <v>0</v>
      </c>
      <c r="X91" s="12">
        <v>0</v>
      </c>
      <c r="Y91" s="12"/>
      <c r="Z91" s="12">
        <v>0</v>
      </c>
      <c r="AA91" s="12"/>
      <c r="AB91" s="12">
        <v>0</v>
      </c>
      <c r="AC91" s="12">
        <v>0</v>
      </c>
      <c r="AD91" s="12"/>
      <c r="AE91" s="12">
        <v>0</v>
      </c>
      <c r="AF91" s="12"/>
      <c r="AG91" s="12">
        <v>0</v>
      </c>
    </row>
    <row r="92" spans="1:33" ht="35.1" customHeight="1" thickBot="1">
      <c r="A92" s="13"/>
      <c r="B92" s="28"/>
      <c r="C92" s="197" t="s">
        <v>76</v>
      </c>
      <c r="D92" s="197" t="s">
        <v>106</v>
      </c>
      <c r="E92" s="197" t="s">
        <v>107</v>
      </c>
      <c r="F92" s="22" t="s">
        <v>108</v>
      </c>
      <c r="G92" s="22" t="s">
        <v>27</v>
      </c>
      <c r="H92" s="22" t="s">
        <v>109</v>
      </c>
      <c r="I92" s="209"/>
      <c r="J92" s="209"/>
      <c r="K92" s="209"/>
      <c r="L92" s="12"/>
      <c r="M92" s="23" t="s">
        <v>155</v>
      </c>
      <c r="N92" s="12">
        <f t="shared" ref="N92:N96" si="39">O92+P92+Q92+R92</f>
        <v>1767.3000000000002</v>
      </c>
      <c r="O92" s="12"/>
      <c r="P92" s="12"/>
      <c r="Q92" s="12"/>
      <c r="R92" s="12">
        <f>1548.4+218.9</f>
        <v>1767.3000000000002</v>
      </c>
      <c r="S92" s="12">
        <f t="shared" ref="S92:S96" si="40">T92+U92+V92+W92</f>
        <v>1548.4</v>
      </c>
      <c r="T92" s="12"/>
      <c r="U92" s="12"/>
      <c r="V92" s="12"/>
      <c r="W92" s="12">
        <v>1548.4</v>
      </c>
      <c r="X92" s="12">
        <f t="shared" ref="X92:X105" si="41">Y92+Z92+AA92+AB92</f>
        <v>1548.4</v>
      </c>
      <c r="Y92" s="12"/>
      <c r="Z92" s="12"/>
      <c r="AA92" s="12"/>
      <c r="AB92" s="12">
        <v>1548.4</v>
      </c>
      <c r="AC92" s="12">
        <f t="shared" ref="AC92:AC101" si="42">AD92+AE92+AF92+AG92</f>
        <v>1548.4</v>
      </c>
      <c r="AD92" s="12"/>
      <c r="AE92" s="12"/>
      <c r="AF92" s="12"/>
      <c r="AG92" s="12">
        <v>1548.4</v>
      </c>
    </row>
    <row r="93" spans="1:33" ht="35.1" customHeight="1" thickBot="1">
      <c r="A93" s="13"/>
      <c r="B93" s="21"/>
      <c r="C93" s="194"/>
      <c r="D93" s="194"/>
      <c r="E93" s="194"/>
      <c r="F93" s="198" t="s">
        <v>156</v>
      </c>
      <c r="G93" s="198" t="s">
        <v>157</v>
      </c>
      <c r="H93" s="198" t="s">
        <v>158</v>
      </c>
      <c r="I93" s="192"/>
      <c r="J93" s="194"/>
      <c r="K93" s="55"/>
      <c r="L93" s="12"/>
      <c r="M93" s="23" t="s">
        <v>160</v>
      </c>
      <c r="N93" s="12">
        <f t="shared" si="39"/>
        <v>2873.1</v>
      </c>
      <c r="O93" s="12"/>
      <c r="P93" s="12"/>
      <c r="Q93" s="12"/>
      <c r="R93" s="12">
        <f>2592.5+280.6</f>
        <v>2873.1</v>
      </c>
      <c r="S93" s="12">
        <f t="shared" si="40"/>
        <v>2592.5</v>
      </c>
      <c r="T93" s="12"/>
      <c r="U93" s="12"/>
      <c r="V93" s="12"/>
      <c r="W93" s="12">
        <v>2592.5</v>
      </c>
      <c r="X93" s="12">
        <f t="shared" si="41"/>
        <v>2592.5</v>
      </c>
      <c r="Y93" s="12"/>
      <c r="Z93" s="12"/>
      <c r="AA93" s="12"/>
      <c r="AB93" s="12">
        <v>2592.5</v>
      </c>
      <c r="AC93" s="12">
        <f t="shared" si="42"/>
        <v>2592.5</v>
      </c>
      <c r="AD93" s="12"/>
      <c r="AE93" s="12"/>
      <c r="AF93" s="12"/>
      <c r="AG93" s="12">
        <v>2592.5</v>
      </c>
    </row>
    <row r="94" spans="1:33" ht="35.1" customHeight="1" thickBot="1">
      <c r="A94" s="13"/>
      <c r="B94" s="21"/>
      <c r="C94" s="209"/>
      <c r="D94" s="209"/>
      <c r="E94" s="209"/>
      <c r="F94" s="23" t="s">
        <v>159</v>
      </c>
      <c r="G94" s="11" t="s">
        <v>111</v>
      </c>
      <c r="H94" s="194" t="s">
        <v>688</v>
      </c>
      <c r="I94" s="192"/>
      <c r="J94" s="194"/>
      <c r="K94" s="55"/>
      <c r="L94" s="12"/>
      <c r="M94" s="23" t="s">
        <v>161</v>
      </c>
      <c r="N94" s="12">
        <f t="shared" si="39"/>
        <v>383.7</v>
      </c>
      <c r="O94" s="12"/>
      <c r="P94" s="12"/>
      <c r="Q94" s="12"/>
      <c r="R94" s="12">
        <v>383.7</v>
      </c>
      <c r="S94" s="12">
        <f t="shared" si="40"/>
        <v>0</v>
      </c>
      <c r="T94" s="12"/>
      <c r="U94" s="12"/>
      <c r="V94" s="12"/>
      <c r="W94" s="12">
        <v>0</v>
      </c>
      <c r="X94" s="12">
        <f t="shared" si="41"/>
        <v>0</v>
      </c>
      <c r="Y94" s="12"/>
      <c r="Z94" s="12"/>
      <c r="AA94" s="12"/>
      <c r="AB94" s="12">
        <v>0</v>
      </c>
      <c r="AC94" s="12">
        <f t="shared" si="42"/>
        <v>0</v>
      </c>
      <c r="AD94" s="12"/>
      <c r="AE94" s="12"/>
      <c r="AF94" s="12"/>
      <c r="AG94" s="12">
        <v>0</v>
      </c>
    </row>
    <row r="95" spans="1:33" ht="35.1" customHeight="1" thickBot="1">
      <c r="A95" s="13"/>
      <c r="B95" s="28"/>
      <c r="C95" s="154"/>
      <c r="D95" s="194"/>
      <c r="E95" s="194"/>
      <c r="F95" s="198" t="s">
        <v>156</v>
      </c>
      <c r="G95" s="198" t="s">
        <v>157</v>
      </c>
      <c r="H95" s="198" t="s">
        <v>158</v>
      </c>
      <c r="I95" s="192"/>
      <c r="J95" s="194"/>
      <c r="K95" s="55"/>
      <c r="L95" s="12"/>
      <c r="M95" s="23" t="s">
        <v>162</v>
      </c>
      <c r="N95" s="12">
        <f t="shared" si="39"/>
        <v>23731.1</v>
      </c>
      <c r="O95" s="12"/>
      <c r="P95" s="12">
        <v>5204.8</v>
      </c>
      <c r="Q95" s="12"/>
      <c r="R95" s="12">
        <f>17260.6+1265.7</f>
        <v>18526.3</v>
      </c>
      <c r="S95" s="12">
        <f t="shared" si="40"/>
        <v>10989.999999999998</v>
      </c>
      <c r="T95" s="12"/>
      <c r="U95" s="12"/>
      <c r="V95" s="12"/>
      <c r="W95" s="12">
        <f>17260.6-6270.6</f>
        <v>10989.999999999998</v>
      </c>
      <c r="X95" s="12">
        <f t="shared" si="41"/>
        <v>6678.3999999999978</v>
      </c>
      <c r="Y95" s="12"/>
      <c r="Z95" s="12"/>
      <c r="AA95" s="12"/>
      <c r="AB95" s="12">
        <f>17260.6-10582.2</f>
        <v>6678.3999999999978</v>
      </c>
      <c r="AC95" s="12">
        <f t="shared" si="42"/>
        <v>6678.3999999999978</v>
      </c>
      <c r="AD95" s="12"/>
      <c r="AE95" s="12"/>
      <c r="AF95" s="12"/>
      <c r="AG95" s="12">
        <f>17260.6-10582.2</f>
        <v>6678.3999999999978</v>
      </c>
    </row>
    <row r="96" spans="1:33" ht="35.1" customHeight="1" thickBot="1">
      <c r="A96" s="13"/>
      <c r="B96" s="28"/>
      <c r="C96" s="154"/>
      <c r="D96" s="194"/>
      <c r="E96" s="194"/>
      <c r="F96" s="194"/>
      <c r="G96" s="194"/>
      <c r="H96" s="194"/>
      <c r="I96" s="192"/>
      <c r="J96" s="194"/>
      <c r="K96" s="55"/>
      <c r="L96" s="12"/>
      <c r="M96" s="23" t="s">
        <v>163</v>
      </c>
      <c r="N96" s="12">
        <f t="shared" si="39"/>
        <v>183</v>
      </c>
      <c r="O96" s="12"/>
      <c r="P96" s="12"/>
      <c r="Q96" s="12"/>
      <c r="R96" s="12">
        <v>183</v>
      </c>
      <c r="S96" s="12">
        <f t="shared" si="40"/>
        <v>0</v>
      </c>
      <c r="T96" s="12"/>
      <c r="U96" s="12"/>
      <c r="V96" s="12"/>
      <c r="W96" s="12">
        <v>0</v>
      </c>
      <c r="X96" s="12">
        <f t="shared" si="41"/>
        <v>0</v>
      </c>
      <c r="Y96" s="12"/>
      <c r="Z96" s="12"/>
      <c r="AA96" s="12"/>
      <c r="AB96" s="12">
        <v>0</v>
      </c>
      <c r="AC96" s="12">
        <f t="shared" si="42"/>
        <v>0</v>
      </c>
      <c r="AD96" s="12"/>
      <c r="AE96" s="12"/>
      <c r="AF96" s="12"/>
      <c r="AG96" s="12">
        <v>0</v>
      </c>
    </row>
    <row r="97" spans="1:33" ht="35.1" customHeight="1" thickBot="1">
      <c r="A97" s="13"/>
      <c r="B97" s="28"/>
      <c r="C97" s="40" t="s">
        <v>823</v>
      </c>
      <c r="D97" s="194" t="s">
        <v>824</v>
      </c>
      <c r="E97" s="194" t="s">
        <v>825</v>
      </c>
      <c r="F97" s="40" t="s">
        <v>164</v>
      </c>
      <c r="G97" s="11" t="s">
        <v>111</v>
      </c>
      <c r="H97" s="59" t="s">
        <v>826</v>
      </c>
      <c r="I97" s="192" t="s">
        <v>645</v>
      </c>
      <c r="J97" s="194" t="s">
        <v>111</v>
      </c>
      <c r="K97" s="55" t="s">
        <v>648</v>
      </c>
      <c r="L97" s="12"/>
      <c r="M97" s="23" t="s">
        <v>165</v>
      </c>
      <c r="N97" s="12">
        <f>R97</f>
        <v>35000.400000000001</v>
      </c>
      <c r="O97" s="12"/>
      <c r="P97" s="12"/>
      <c r="Q97" s="12"/>
      <c r="R97" s="12">
        <f>35157-156.6</f>
        <v>35000.400000000001</v>
      </c>
      <c r="S97" s="12">
        <f>W97</f>
        <v>41427.599999999999</v>
      </c>
      <c r="T97" s="12"/>
      <c r="U97" s="12"/>
      <c r="V97" s="12"/>
      <c r="W97" s="12">
        <f>35157+6270.6</f>
        <v>41427.599999999999</v>
      </c>
      <c r="X97" s="12">
        <f>AB97</f>
        <v>45739.199999999997</v>
      </c>
      <c r="Y97" s="12"/>
      <c r="Z97" s="12"/>
      <c r="AA97" s="12"/>
      <c r="AB97" s="12">
        <f>35157+10582.2</f>
        <v>45739.199999999997</v>
      </c>
      <c r="AC97" s="12">
        <f>AG97</f>
        <v>45739.199999999997</v>
      </c>
      <c r="AD97" s="12"/>
      <c r="AE97" s="12"/>
      <c r="AF97" s="12"/>
      <c r="AG97" s="12">
        <f>35157+10582.2</f>
        <v>45739.199999999997</v>
      </c>
    </row>
    <row r="98" spans="1:33" ht="35.1" customHeight="1" thickBot="1">
      <c r="A98" s="13"/>
      <c r="B98" s="28"/>
      <c r="C98" s="194"/>
      <c r="D98" s="194"/>
      <c r="E98" s="194"/>
      <c r="F98" s="40"/>
      <c r="G98" s="194"/>
      <c r="H98" s="59"/>
      <c r="I98" s="55" t="s">
        <v>827</v>
      </c>
      <c r="J98" s="194" t="s">
        <v>111</v>
      </c>
      <c r="K98" s="55" t="s">
        <v>828</v>
      </c>
      <c r="L98" s="12"/>
      <c r="M98" s="23" t="s">
        <v>166</v>
      </c>
      <c r="N98" s="12">
        <f>R98</f>
        <v>950.8</v>
      </c>
      <c r="O98" s="12"/>
      <c r="P98" s="12"/>
      <c r="Q98" s="12"/>
      <c r="R98" s="12">
        <v>950.8</v>
      </c>
      <c r="S98" s="12">
        <f>W98</f>
        <v>1138.5999999999999</v>
      </c>
      <c r="T98" s="12"/>
      <c r="U98" s="12"/>
      <c r="V98" s="12"/>
      <c r="W98" s="12">
        <v>1138.5999999999999</v>
      </c>
      <c r="X98" s="12">
        <f>AB98</f>
        <v>1322.5</v>
      </c>
      <c r="Y98" s="12"/>
      <c r="Z98" s="12"/>
      <c r="AA98" s="12"/>
      <c r="AB98" s="12">
        <v>1322.5</v>
      </c>
      <c r="AC98" s="12">
        <f>AG98</f>
        <v>1322.5</v>
      </c>
      <c r="AD98" s="12"/>
      <c r="AE98" s="12"/>
      <c r="AF98" s="12"/>
      <c r="AG98" s="12">
        <v>1322.5</v>
      </c>
    </row>
    <row r="99" spans="1:33" ht="35.1" customHeight="1" thickBot="1">
      <c r="A99" s="13"/>
      <c r="B99" s="28"/>
      <c r="C99" s="194"/>
      <c r="D99" s="194"/>
      <c r="E99" s="194"/>
      <c r="F99" s="40"/>
      <c r="G99" s="194"/>
      <c r="H99" s="59"/>
      <c r="I99" s="55" t="s">
        <v>827</v>
      </c>
      <c r="J99" s="194" t="s">
        <v>111</v>
      </c>
      <c r="K99" s="55" t="s">
        <v>828</v>
      </c>
      <c r="L99" s="12"/>
      <c r="M99" s="23" t="s">
        <v>167</v>
      </c>
      <c r="N99" s="12">
        <f t="shared" ref="N99:N101" si="43">O99+P99+Q99+R99</f>
        <v>1842.8</v>
      </c>
      <c r="O99" s="12"/>
      <c r="P99" s="12"/>
      <c r="Q99" s="12"/>
      <c r="R99" s="12">
        <f>1842.7+0.1</f>
        <v>1842.8</v>
      </c>
      <c r="S99" s="12">
        <f t="shared" ref="S99:S101" si="44">T99+U99+V99+W99</f>
        <v>2013.4</v>
      </c>
      <c r="T99" s="12"/>
      <c r="U99" s="12"/>
      <c r="V99" s="12"/>
      <c r="W99" s="12">
        <v>2013.4</v>
      </c>
      <c r="X99" s="12">
        <f t="shared" si="41"/>
        <v>2027</v>
      </c>
      <c r="Y99" s="12"/>
      <c r="Z99" s="12"/>
      <c r="AA99" s="12"/>
      <c r="AB99" s="12">
        <v>2027</v>
      </c>
      <c r="AC99" s="12">
        <f t="shared" si="42"/>
        <v>2027</v>
      </c>
      <c r="AD99" s="12"/>
      <c r="AE99" s="12"/>
      <c r="AF99" s="12"/>
      <c r="AG99" s="12">
        <v>2027</v>
      </c>
    </row>
    <row r="100" spans="1:33" ht="35.1" customHeight="1" thickBot="1">
      <c r="A100" s="13"/>
      <c r="B100" s="28"/>
      <c r="C100" s="194"/>
      <c r="D100" s="194"/>
      <c r="E100" s="194"/>
      <c r="F100" s="40"/>
      <c r="G100" s="194"/>
      <c r="H100" s="59"/>
      <c r="I100" s="55" t="s">
        <v>827</v>
      </c>
      <c r="J100" s="194" t="s">
        <v>111</v>
      </c>
      <c r="K100" s="55" t="s">
        <v>828</v>
      </c>
      <c r="L100" s="12"/>
      <c r="M100" s="23" t="s">
        <v>168</v>
      </c>
      <c r="N100" s="12">
        <f t="shared" si="43"/>
        <v>950.8</v>
      </c>
      <c r="O100" s="12"/>
      <c r="P100" s="12"/>
      <c r="Q100" s="12"/>
      <c r="R100" s="12">
        <v>950.8</v>
      </c>
      <c r="S100" s="12">
        <f t="shared" si="44"/>
        <v>1138.5999999999999</v>
      </c>
      <c r="T100" s="12"/>
      <c r="U100" s="12"/>
      <c r="V100" s="12"/>
      <c r="W100" s="12">
        <v>1138.5999999999999</v>
      </c>
      <c r="X100" s="12">
        <f t="shared" si="41"/>
        <v>1322.5</v>
      </c>
      <c r="Y100" s="12"/>
      <c r="Z100" s="12"/>
      <c r="AA100" s="12"/>
      <c r="AB100" s="12">
        <v>1322.5</v>
      </c>
      <c r="AC100" s="12">
        <f t="shared" si="42"/>
        <v>1322.5</v>
      </c>
      <c r="AD100" s="12"/>
      <c r="AE100" s="12"/>
      <c r="AF100" s="12"/>
      <c r="AG100" s="12">
        <v>1322.5</v>
      </c>
    </row>
    <row r="101" spans="1:33" ht="35.1" customHeight="1" thickBot="1">
      <c r="A101" s="13"/>
      <c r="B101" s="28"/>
      <c r="C101" s="194"/>
      <c r="D101" s="194"/>
      <c r="E101" s="194"/>
      <c r="F101" s="40"/>
      <c r="G101" s="194"/>
      <c r="H101" s="59"/>
      <c r="I101" s="55" t="s">
        <v>827</v>
      </c>
      <c r="J101" s="194" t="s">
        <v>111</v>
      </c>
      <c r="K101" s="55" t="s">
        <v>828</v>
      </c>
      <c r="L101" s="12"/>
      <c r="M101" s="23" t="s">
        <v>169</v>
      </c>
      <c r="N101" s="12">
        <f t="shared" si="43"/>
        <v>950.8</v>
      </c>
      <c r="O101" s="12"/>
      <c r="P101" s="12"/>
      <c r="Q101" s="12"/>
      <c r="R101" s="12">
        <v>950.8</v>
      </c>
      <c r="S101" s="12">
        <f t="shared" si="44"/>
        <v>1138.7</v>
      </c>
      <c r="T101" s="12"/>
      <c r="U101" s="12"/>
      <c r="V101" s="12"/>
      <c r="W101" s="12">
        <v>1138.7</v>
      </c>
      <c r="X101" s="12">
        <f t="shared" si="41"/>
        <v>1322.4</v>
      </c>
      <c r="Y101" s="12"/>
      <c r="Z101" s="12"/>
      <c r="AA101" s="12"/>
      <c r="AB101" s="12">
        <v>1322.4</v>
      </c>
      <c r="AC101" s="12">
        <f t="shared" si="42"/>
        <v>1322.4</v>
      </c>
      <c r="AD101" s="12"/>
      <c r="AE101" s="12"/>
      <c r="AF101" s="12"/>
      <c r="AG101" s="12">
        <v>1322.4</v>
      </c>
    </row>
    <row r="102" spans="1:33" ht="35.1" customHeight="1" thickBot="1">
      <c r="A102" s="13"/>
      <c r="B102" s="28"/>
      <c r="C102" s="25" t="s">
        <v>233</v>
      </c>
      <c r="D102" s="25" t="s">
        <v>255</v>
      </c>
      <c r="E102" s="25" t="s">
        <v>256</v>
      </c>
      <c r="F102" s="39" t="s">
        <v>170</v>
      </c>
      <c r="G102" s="25" t="s">
        <v>171</v>
      </c>
      <c r="H102" s="25" t="s">
        <v>172</v>
      </c>
      <c r="I102" s="25"/>
      <c r="J102" s="25"/>
      <c r="K102" s="25"/>
      <c r="L102" s="12"/>
      <c r="M102" s="23" t="s">
        <v>173</v>
      </c>
      <c r="N102" s="12">
        <f>O102+P102+Q102+R102</f>
        <v>2552.3000000000002</v>
      </c>
      <c r="O102" s="12"/>
      <c r="P102" s="12"/>
      <c r="Q102" s="12"/>
      <c r="R102" s="12">
        <f>1811.1+741.2</f>
        <v>2552.3000000000002</v>
      </c>
      <c r="S102" s="12">
        <f>T102+U102+V102+W102</f>
        <v>1811.1</v>
      </c>
      <c r="T102" s="12"/>
      <c r="U102" s="12"/>
      <c r="V102" s="12"/>
      <c r="W102" s="12">
        <v>1811.1</v>
      </c>
      <c r="X102" s="12">
        <f t="shared" si="41"/>
        <v>1811.1</v>
      </c>
      <c r="Y102" s="12"/>
      <c r="Z102" s="12"/>
      <c r="AA102" s="12"/>
      <c r="AB102" s="12">
        <v>1811.1</v>
      </c>
      <c r="AC102" s="12">
        <f>AD102+AE102+AF102+AG102</f>
        <v>1811.1</v>
      </c>
      <c r="AD102" s="12"/>
      <c r="AE102" s="12"/>
      <c r="AF102" s="12"/>
      <c r="AG102" s="12">
        <v>1811.1</v>
      </c>
    </row>
    <row r="103" spans="1:33" ht="35.1" customHeight="1" thickBot="1">
      <c r="A103" s="13"/>
      <c r="B103" s="28"/>
      <c r="C103" s="25"/>
      <c r="D103" s="25"/>
      <c r="E103" s="25"/>
      <c r="F103" s="39"/>
      <c r="G103" s="25"/>
      <c r="H103" s="25"/>
      <c r="I103" s="55" t="s">
        <v>174</v>
      </c>
      <c r="J103" s="25" t="s">
        <v>111</v>
      </c>
      <c r="K103" s="25" t="s">
        <v>654</v>
      </c>
      <c r="L103" s="12"/>
      <c r="M103" s="23" t="s">
        <v>175</v>
      </c>
      <c r="N103" s="12">
        <f>O103+P103+Q103+R103</f>
        <v>275</v>
      </c>
      <c r="O103" s="12"/>
      <c r="P103" s="12"/>
      <c r="Q103" s="12"/>
      <c r="R103" s="12">
        <v>275</v>
      </c>
      <c r="S103" s="12">
        <f>T103+U103+V103+W103</f>
        <v>0</v>
      </c>
      <c r="T103" s="12"/>
      <c r="U103" s="12"/>
      <c r="V103" s="12"/>
      <c r="W103" s="12">
        <v>0</v>
      </c>
      <c r="X103" s="12">
        <f t="shared" si="41"/>
        <v>0</v>
      </c>
      <c r="Y103" s="12"/>
      <c r="Z103" s="12"/>
      <c r="AA103" s="12"/>
      <c r="AB103" s="12">
        <v>0</v>
      </c>
      <c r="AC103" s="12">
        <f>AD103+AE103+AF103+AG103</f>
        <v>0</v>
      </c>
      <c r="AD103" s="12"/>
      <c r="AE103" s="12"/>
      <c r="AF103" s="12"/>
      <c r="AG103" s="12">
        <v>0</v>
      </c>
    </row>
    <row r="104" spans="1:33" ht="35.1" customHeight="1" thickBot="1">
      <c r="A104" s="13"/>
      <c r="B104" s="28"/>
      <c r="C104" s="25"/>
      <c r="D104" s="25"/>
      <c r="E104" s="25"/>
      <c r="F104" s="25" t="s">
        <v>110</v>
      </c>
      <c r="G104" s="191" t="s">
        <v>111</v>
      </c>
      <c r="H104" s="191" t="s">
        <v>112</v>
      </c>
      <c r="I104" s="25"/>
      <c r="J104" s="25"/>
      <c r="K104" s="25"/>
      <c r="L104" s="12"/>
      <c r="M104" s="23" t="s">
        <v>176</v>
      </c>
      <c r="N104" s="12">
        <f>O104+P104+Q104+R104</f>
        <v>1135.9000000000001</v>
      </c>
      <c r="O104" s="12"/>
      <c r="P104" s="12"/>
      <c r="Q104" s="12"/>
      <c r="R104" s="12">
        <v>1135.9000000000001</v>
      </c>
      <c r="S104" s="12">
        <f>T104+U104+V104+W104</f>
        <v>1135.9000000000001</v>
      </c>
      <c r="T104" s="12"/>
      <c r="U104" s="12"/>
      <c r="V104" s="12"/>
      <c r="W104" s="12">
        <v>1135.9000000000001</v>
      </c>
      <c r="X104" s="12">
        <f t="shared" si="41"/>
        <v>1135.9000000000001</v>
      </c>
      <c r="Y104" s="12"/>
      <c r="Z104" s="12"/>
      <c r="AA104" s="12"/>
      <c r="AB104" s="12">
        <v>1135.9000000000001</v>
      </c>
      <c r="AC104" s="12">
        <f>AD104+AE104+AF104+AG104</f>
        <v>1135.9000000000001</v>
      </c>
      <c r="AD104" s="12"/>
      <c r="AE104" s="12"/>
      <c r="AF104" s="12"/>
      <c r="AG104" s="12">
        <v>1135.9000000000001</v>
      </c>
    </row>
    <row r="105" spans="1:33" ht="35.1" customHeight="1" thickBot="1">
      <c r="A105" s="13"/>
      <c r="B105" s="28"/>
      <c r="C105" s="25"/>
      <c r="D105" s="25"/>
      <c r="E105" s="25"/>
      <c r="F105" s="62"/>
      <c r="G105" s="25"/>
      <c r="H105" s="25"/>
      <c r="I105" s="25"/>
      <c r="J105" s="25"/>
      <c r="K105" s="25"/>
      <c r="L105" s="12"/>
      <c r="M105" s="23" t="s">
        <v>177</v>
      </c>
      <c r="N105" s="12">
        <f>O105+P105+Q105+R105</f>
        <v>54326</v>
      </c>
      <c r="O105" s="12"/>
      <c r="P105" s="12">
        <v>4509.1000000000004</v>
      </c>
      <c r="Q105" s="12"/>
      <c r="R105" s="12">
        <f>51218.3-1401.4</f>
        <v>49816.9</v>
      </c>
      <c r="S105" s="12">
        <f>T105+U105+V105+W105</f>
        <v>51218.3</v>
      </c>
      <c r="T105" s="12"/>
      <c r="U105" s="12"/>
      <c r="V105" s="12"/>
      <c r="W105" s="12">
        <v>51218.3</v>
      </c>
      <c r="X105" s="12">
        <f t="shared" si="41"/>
        <v>51218.3</v>
      </c>
      <c r="Y105" s="12"/>
      <c r="Z105" s="12"/>
      <c r="AA105" s="12"/>
      <c r="AB105" s="12">
        <v>51218.3</v>
      </c>
      <c r="AC105" s="12">
        <f>AD105+AE105+AF105+AG105</f>
        <v>51218.3</v>
      </c>
      <c r="AD105" s="12"/>
      <c r="AE105" s="12"/>
      <c r="AF105" s="12"/>
      <c r="AG105" s="12">
        <v>51218.3</v>
      </c>
    </row>
    <row r="106" spans="1:33" ht="35.1" customHeight="1" thickBot="1">
      <c r="A106" s="16" t="s">
        <v>178</v>
      </c>
      <c r="B106" s="17">
        <v>2526</v>
      </c>
      <c r="C106" s="18"/>
      <c r="D106" s="19"/>
      <c r="E106" s="19"/>
      <c r="F106" s="19"/>
      <c r="G106" s="19"/>
      <c r="H106" s="19"/>
      <c r="I106" s="19"/>
      <c r="J106" s="19"/>
      <c r="K106" s="19"/>
      <c r="L106" s="19">
        <v>6</v>
      </c>
      <c r="M106" s="20"/>
      <c r="N106" s="19"/>
      <c r="O106" s="19"/>
      <c r="P106" s="19"/>
      <c r="Q106" s="19"/>
      <c r="R106" s="19"/>
      <c r="S106" s="19"/>
      <c r="T106" s="19"/>
      <c r="U106" s="19"/>
      <c r="V106" s="19"/>
      <c r="W106" s="19"/>
      <c r="X106" s="19"/>
      <c r="Y106" s="19"/>
      <c r="Z106" s="19"/>
      <c r="AA106" s="19"/>
      <c r="AB106" s="19"/>
      <c r="AC106" s="19"/>
      <c r="AD106" s="19"/>
      <c r="AE106" s="19"/>
      <c r="AF106" s="19"/>
      <c r="AG106" s="19"/>
    </row>
    <row r="107" spans="1:33" ht="35.1" customHeight="1" thickBot="1">
      <c r="A107" s="16" t="s">
        <v>179</v>
      </c>
      <c r="B107" s="17">
        <v>2527</v>
      </c>
      <c r="C107" s="18"/>
      <c r="D107" s="19"/>
      <c r="E107" s="19"/>
      <c r="F107" s="19"/>
      <c r="G107" s="19"/>
      <c r="H107" s="19"/>
      <c r="I107" s="19"/>
      <c r="J107" s="19"/>
      <c r="K107" s="19"/>
      <c r="L107" s="19">
        <v>6</v>
      </c>
      <c r="M107" s="19"/>
      <c r="N107" s="19">
        <f>N108+N109+N110+N111+N112+N113+N114</f>
        <v>84190.299999999988</v>
      </c>
      <c r="O107" s="19">
        <f t="shared" ref="O107:AG107" si="45">O108+O109+O110+O111+O112+O113+O114</f>
        <v>0</v>
      </c>
      <c r="P107" s="19">
        <f t="shared" si="45"/>
        <v>6679.5</v>
      </c>
      <c r="Q107" s="19">
        <f t="shared" si="45"/>
        <v>0</v>
      </c>
      <c r="R107" s="19">
        <f t="shared" si="45"/>
        <v>77510.799999999988</v>
      </c>
      <c r="S107" s="19">
        <f t="shared" si="45"/>
        <v>75917.7</v>
      </c>
      <c r="T107" s="19">
        <f t="shared" si="45"/>
        <v>0</v>
      </c>
      <c r="U107" s="19">
        <f t="shared" si="45"/>
        <v>0</v>
      </c>
      <c r="V107" s="19">
        <f t="shared" si="45"/>
        <v>0</v>
      </c>
      <c r="W107" s="19">
        <f t="shared" si="45"/>
        <v>75917.7</v>
      </c>
      <c r="X107" s="19">
        <f t="shared" si="45"/>
        <v>75917.799999999988</v>
      </c>
      <c r="Y107" s="19">
        <f t="shared" si="45"/>
        <v>0</v>
      </c>
      <c r="Z107" s="19">
        <f t="shared" si="45"/>
        <v>0</v>
      </c>
      <c r="AA107" s="19">
        <f t="shared" si="45"/>
        <v>0</v>
      </c>
      <c r="AB107" s="19">
        <f t="shared" si="45"/>
        <v>75917.799999999988</v>
      </c>
      <c r="AC107" s="19">
        <f t="shared" si="45"/>
        <v>75917.799999999988</v>
      </c>
      <c r="AD107" s="19">
        <f t="shared" si="45"/>
        <v>0</v>
      </c>
      <c r="AE107" s="19">
        <f t="shared" si="45"/>
        <v>0</v>
      </c>
      <c r="AF107" s="19">
        <f t="shared" si="45"/>
        <v>0</v>
      </c>
      <c r="AG107" s="19">
        <f t="shared" si="45"/>
        <v>75917.799999999988</v>
      </c>
    </row>
    <row r="108" spans="1:33" ht="35.1" customHeight="1" thickBot="1">
      <c r="A108" s="13"/>
      <c r="B108" s="28"/>
      <c r="C108" s="197" t="s">
        <v>76</v>
      </c>
      <c r="D108" s="197" t="s">
        <v>106</v>
      </c>
      <c r="E108" s="197" t="s">
        <v>107</v>
      </c>
      <c r="F108" s="22" t="s">
        <v>108</v>
      </c>
      <c r="G108" s="22" t="s">
        <v>27</v>
      </c>
      <c r="H108" s="22" t="s">
        <v>109</v>
      </c>
      <c r="I108" s="39" t="s">
        <v>29</v>
      </c>
      <c r="J108" s="39" t="s">
        <v>704</v>
      </c>
      <c r="K108" s="166" t="s">
        <v>676</v>
      </c>
      <c r="L108" s="12"/>
      <c r="M108" s="23" t="s">
        <v>180</v>
      </c>
      <c r="N108" s="12">
        <f t="shared" ref="N108:N114" si="46">O108+P108+Q108+R108</f>
        <v>34793.599999999999</v>
      </c>
      <c r="O108" s="12"/>
      <c r="P108" s="12">
        <v>3122.9</v>
      </c>
      <c r="Q108" s="12"/>
      <c r="R108" s="12">
        <f>30464.6+1206.1</f>
        <v>31670.699999999997</v>
      </c>
      <c r="S108" s="12">
        <f t="shared" ref="S108:S114" si="47">T108+U108+V108+W108</f>
        <v>30464.6</v>
      </c>
      <c r="T108" s="12"/>
      <c r="U108" s="12"/>
      <c r="V108" s="12"/>
      <c r="W108" s="12">
        <v>30464.6</v>
      </c>
      <c r="X108" s="12">
        <f t="shared" ref="X108:X112" si="48">Y108+Z108+AA108+AB108</f>
        <v>30464.6</v>
      </c>
      <c r="Y108" s="12"/>
      <c r="Z108" s="12"/>
      <c r="AA108" s="12"/>
      <c r="AB108" s="12">
        <v>30464.6</v>
      </c>
      <c r="AC108" s="12">
        <f t="shared" ref="AC108:AC114" si="49">AD108+AE108+AF108+AG108</f>
        <v>30464.6</v>
      </c>
      <c r="AD108" s="12"/>
      <c r="AE108" s="12"/>
      <c r="AF108" s="12"/>
      <c r="AG108" s="12">
        <v>30464.6</v>
      </c>
    </row>
    <row r="109" spans="1:33" ht="35.1" customHeight="1" thickBot="1">
      <c r="A109" s="13"/>
      <c r="B109" s="28"/>
      <c r="C109" s="154"/>
      <c r="D109" s="194"/>
      <c r="E109" s="194"/>
      <c r="F109" s="194"/>
      <c r="G109" s="194"/>
      <c r="H109" s="194"/>
      <c r="I109" s="217"/>
      <c r="J109" s="194"/>
      <c r="K109" s="55"/>
      <c r="L109" s="12"/>
      <c r="M109" s="23" t="s">
        <v>181</v>
      </c>
      <c r="N109" s="12">
        <f t="shared" si="46"/>
        <v>5219.2</v>
      </c>
      <c r="O109" s="12"/>
      <c r="P109" s="12"/>
      <c r="Q109" s="12"/>
      <c r="R109" s="12">
        <v>5219.2</v>
      </c>
      <c r="S109" s="12">
        <f t="shared" si="47"/>
        <v>5219.2</v>
      </c>
      <c r="T109" s="12"/>
      <c r="U109" s="12"/>
      <c r="V109" s="12"/>
      <c r="W109" s="12">
        <v>5219.2</v>
      </c>
      <c r="X109" s="12">
        <f t="shared" si="48"/>
        <v>5219.2</v>
      </c>
      <c r="Y109" s="12"/>
      <c r="Z109" s="12"/>
      <c r="AA109" s="12"/>
      <c r="AB109" s="12">
        <v>5219.2</v>
      </c>
      <c r="AC109" s="12">
        <f t="shared" si="49"/>
        <v>5219.2</v>
      </c>
      <c r="AD109" s="12"/>
      <c r="AE109" s="12"/>
      <c r="AF109" s="12"/>
      <c r="AG109" s="12">
        <v>5219.2</v>
      </c>
    </row>
    <row r="110" spans="1:33" ht="35.1" customHeight="1" thickBot="1">
      <c r="A110" s="13"/>
      <c r="B110" s="28"/>
      <c r="C110" s="154"/>
      <c r="D110" s="194"/>
      <c r="E110" s="194"/>
      <c r="F110" s="194"/>
      <c r="G110" s="194"/>
      <c r="H110" s="194"/>
      <c r="I110" s="192" t="s">
        <v>645</v>
      </c>
      <c r="J110" s="194" t="s">
        <v>111</v>
      </c>
      <c r="K110" s="55" t="s">
        <v>648</v>
      </c>
      <c r="L110" s="12"/>
      <c r="M110" s="23" t="s">
        <v>182</v>
      </c>
      <c r="N110" s="12">
        <f t="shared" si="46"/>
        <v>1127.9000000000001</v>
      </c>
      <c r="O110" s="12"/>
      <c r="P110" s="12"/>
      <c r="Q110" s="12"/>
      <c r="R110" s="12">
        <v>1127.9000000000001</v>
      </c>
      <c r="S110" s="12">
        <f t="shared" si="47"/>
        <v>1127.9000000000001</v>
      </c>
      <c r="T110" s="12"/>
      <c r="U110" s="12"/>
      <c r="V110" s="12"/>
      <c r="W110" s="12">
        <v>1127.9000000000001</v>
      </c>
      <c r="X110" s="12">
        <f t="shared" si="48"/>
        <v>1128</v>
      </c>
      <c r="Y110" s="12"/>
      <c r="Z110" s="12"/>
      <c r="AA110" s="12"/>
      <c r="AB110" s="12">
        <v>1128</v>
      </c>
      <c r="AC110" s="12">
        <f t="shared" si="49"/>
        <v>1128</v>
      </c>
      <c r="AD110" s="12"/>
      <c r="AE110" s="12"/>
      <c r="AF110" s="12"/>
      <c r="AG110" s="12">
        <v>1128</v>
      </c>
    </row>
    <row r="111" spans="1:33" ht="35.1" customHeight="1" thickBot="1">
      <c r="A111" s="13"/>
      <c r="B111" s="21"/>
      <c r="C111" s="194"/>
      <c r="D111" s="194"/>
      <c r="E111" s="194"/>
      <c r="F111" s="194"/>
      <c r="G111" s="194"/>
      <c r="H111" s="194"/>
      <c r="I111" s="192"/>
      <c r="J111" s="194"/>
      <c r="K111" s="55"/>
      <c r="L111" s="12"/>
      <c r="M111" s="23" t="s">
        <v>183</v>
      </c>
      <c r="N111" s="12">
        <f t="shared" si="46"/>
        <v>437.5</v>
      </c>
      <c r="O111" s="12"/>
      <c r="P111" s="12"/>
      <c r="Q111" s="12"/>
      <c r="R111" s="12">
        <v>437.5</v>
      </c>
      <c r="S111" s="12">
        <f t="shared" si="47"/>
        <v>437.5</v>
      </c>
      <c r="T111" s="12"/>
      <c r="U111" s="12"/>
      <c r="V111" s="12"/>
      <c r="W111" s="12">
        <v>437.5</v>
      </c>
      <c r="X111" s="12">
        <f t="shared" si="48"/>
        <v>437.5</v>
      </c>
      <c r="Y111" s="12"/>
      <c r="Z111" s="12"/>
      <c r="AA111" s="12"/>
      <c r="AB111" s="12">
        <v>437.5</v>
      </c>
      <c r="AC111" s="12">
        <f t="shared" si="49"/>
        <v>437.5</v>
      </c>
      <c r="AD111" s="12"/>
      <c r="AE111" s="12"/>
      <c r="AF111" s="12"/>
      <c r="AG111" s="12">
        <v>437.5</v>
      </c>
    </row>
    <row r="112" spans="1:33" ht="35.1" customHeight="1" thickBot="1">
      <c r="A112" s="13"/>
      <c r="B112" s="21"/>
      <c r="C112" s="194"/>
      <c r="D112" s="194"/>
      <c r="E112" s="194"/>
      <c r="F112" s="194"/>
      <c r="G112" s="194"/>
      <c r="H112" s="25"/>
      <c r="I112" s="192"/>
      <c r="J112" s="194"/>
      <c r="K112" s="55"/>
      <c r="L112" s="12"/>
      <c r="M112" s="23" t="s">
        <v>184</v>
      </c>
      <c r="N112" s="12">
        <f t="shared" si="46"/>
        <v>5</v>
      </c>
      <c r="O112" s="12"/>
      <c r="P112" s="12"/>
      <c r="Q112" s="12"/>
      <c r="R112" s="12">
        <v>5</v>
      </c>
      <c r="S112" s="12">
        <f t="shared" si="47"/>
        <v>5</v>
      </c>
      <c r="T112" s="12"/>
      <c r="U112" s="12"/>
      <c r="V112" s="12"/>
      <c r="W112" s="12">
        <v>5</v>
      </c>
      <c r="X112" s="12">
        <f t="shared" si="48"/>
        <v>5</v>
      </c>
      <c r="Y112" s="12"/>
      <c r="Z112" s="12"/>
      <c r="AA112" s="12"/>
      <c r="AB112" s="12">
        <v>5</v>
      </c>
      <c r="AC112" s="12">
        <f t="shared" si="49"/>
        <v>5</v>
      </c>
      <c r="AD112" s="12"/>
      <c r="AE112" s="12"/>
      <c r="AF112" s="12"/>
      <c r="AG112" s="12">
        <v>5</v>
      </c>
    </row>
    <row r="113" spans="1:33" ht="35.1" customHeight="1" thickBot="1">
      <c r="A113" s="13"/>
      <c r="B113" s="21"/>
      <c r="C113" s="194"/>
      <c r="D113" s="194"/>
      <c r="E113" s="194"/>
      <c r="F113" s="198" t="s">
        <v>156</v>
      </c>
      <c r="G113" s="198" t="s">
        <v>157</v>
      </c>
      <c r="H113" s="198" t="s">
        <v>158</v>
      </c>
      <c r="I113" s="194" t="s">
        <v>185</v>
      </c>
      <c r="J113" s="194" t="s">
        <v>111</v>
      </c>
      <c r="K113" s="194" t="s">
        <v>186</v>
      </c>
      <c r="L113" s="12"/>
      <c r="M113" s="23" t="s">
        <v>180</v>
      </c>
      <c r="N113" s="12">
        <f t="shared" si="46"/>
        <v>39628.1</v>
      </c>
      <c r="O113" s="12"/>
      <c r="P113" s="12">
        <v>3556.6</v>
      </c>
      <c r="Q113" s="12"/>
      <c r="R113" s="12">
        <f>35684.5+387</f>
        <v>36071.5</v>
      </c>
      <c r="S113" s="12">
        <f t="shared" si="47"/>
        <v>35684.5</v>
      </c>
      <c r="T113" s="12"/>
      <c r="U113" s="12"/>
      <c r="V113" s="12"/>
      <c r="W113" s="12">
        <v>35684.5</v>
      </c>
      <c r="X113" s="12">
        <f>Y113+Z113+AA113+AB113</f>
        <v>35684.5</v>
      </c>
      <c r="Y113" s="12"/>
      <c r="Z113" s="12"/>
      <c r="AA113" s="12"/>
      <c r="AB113" s="12">
        <v>35684.5</v>
      </c>
      <c r="AC113" s="12">
        <f t="shared" si="49"/>
        <v>35684.5</v>
      </c>
      <c r="AD113" s="12"/>
      <c r="AE113" s="12"/>
      <c r="AF113" s="12"/>
      <c r="AG113" s="12">
        <v>35684.5</v>
      </c>
    </row>
    <row r="114" spans="1:33" ht="35.1" customHeight="1" thickBot="1">
      <c r="A114" s="13"/>
      <c r="B114" s="21"/>
      <c r="C114" s="194"/>
      <c r="D114" s="194"/>
      <c r="E114" s="194"/>
      <c r="F114" s="194"/>
      <c r="G114" s="190"/>
      <c r="H114" s="190"/>
      <c r="I114" s="190"/>
      <c r="J114" s="190"/>
      <c r="K114" s="12"/>
      <c r="L114" s="12"/>
      <c r="M114" s="23" t="s">
        <v>181</v>
      </c>
      <c r="N114" s="12">
        <f t="shared" si="46"/>
        <v>2979</v>
      </c>
      <c r="O114" s="12"/>
      <c r="P114" s="12"/>
      <c r="Q114" s="12"/>
      <c r="R114" s="12">
        <v>2979</v>
      </c>
      <c r="S114" s="12">
        <f t="shared" si="47"/>
        <v>2979</v>
      </c>
      <c r="T114" s="12"/>
      <c r="U114" s="12"/>
      <c r="V114" s="12"/>
      <c r="W114" s="12">
        <v>2979</v>
      </c>
      <c r="X114" s="12">
        <f>Y114+Z114+AA114+AB114</f>
        <v>2979</v>
      </c>
      <c r="Y114" s="12"/>
      <c r="Z114" s="12"/>
      <c r="AA114" s="12"/>
      <c r="AB114" s="12">
        <v>2979</v>
      </c>
      <c r="AC114" s="12">
        <f t="shared" si="49"/>
        <v>2979</v>
      </c>
      <c r="AD114" s="12"/>
      <c r="AE114" s="12"/>
      <c r="AF114" s="12"/>
      <c r="AG114" s="12">
        <v>2979</v>
      </c>
    </row>
    <row r="115" spans="1:33" ht="35.1" customHeight="1" thickBot="1">
      <c r="A115" s="16" t="s">
        <v>187</v>
      </c>
      <c r="B115" s="56">
        <v>2530</v>
      </c>
      <c r="C115" s="18"/>
      <c r="D115" s="19"/>
      <c r="E115" s="19"/>
      <c r="F115" s="19"/>
      <c r="G115" s="19"/>
      <c r="H115" s="19"/>
      <c r="I115" s="19"/>
      <c r="J115" s="19"/>
      <c r="K115" s="19"/>
      <c r="L115" s="19">
        <v>7</v>
      </c>
      <c r="M115" s="19"/>
      <c r="N115" s="19">
        <f t="shared" ref="N115:AG115" si="50">N116+N117+N118+N119+N120+N121</f>
        <v>63006.2</v>
      </c>
      <c r="O115" s="19">
        <f t="shared" si="50"/>
        <v>46</v>
      </c>
      <c r="P115" s="19">
        <f t="shared" si="50"/>
        <v>4185.3</v>
      </c>
      <c r="Q115" s="19">
        <f t="shared" si="50"/>
        <v>0</v>
      </c>
      <c r="R115" s="19">
        <f t="shared" si="50"/>
        <v>58774.900000000009</v>
      </c>
      <c r="S115" s="19">
        <f t="shared" si="50"/>
        <v>55875.1</v>
      </c>
      <c r="T115" s="19">
        <f t="shared" si="50"/>
        <v>44.9</v>
      </c>
      <c r="U115" s="19">
        <f t="shared" si="50"/>
        <v>110.7</v>
      </c>
      <c r="V115" s="19">
        <f t="shared" si="50"/>
        <v>0</v>
      </c>
      <c r="W115" s="19">
        <f t="shared" si="50"/>
        <v>55719.5</v>
      </c>
      <c r="X115" s="19">
        <f t="shared" si="50"/>
        <v>55876.4</v>
      </c>
      <c r="Y115" s="19">
        <f t="shared" si="50"/>
        <v>43.6</v>
      </c>
      <c r="Z115" s="19">
        <f t="shared" si="50"/>
        <v>113.3</v>
      </c>
      <c r="AA115" s="19">
        <f t="shared" si="50"/>
        <v>0</v>
      </c>
      <c r="AB115" s="19">
        <f t="shared" si="50"/>
        <v>55719.5</v>
      </c>
      <c r="AC115" s="19">
        <f t="shared" si="50"/>
        <v>55876.4</v>
      </c>
      <c r="AD115" s="19">
        <f t="shared" si="50"/>
        <v>43.6</v>
      </c>
      <c r="AE115" s="19">
        <f t="shared" si="50"/>
        <v>113.3</v>
      </c>
      <c r="AF115" s="19">
        <f t="shared" si="50"/>
        <v>0</v>
      </c>
      <c r="AG115" s="19">
        <f t="shared" si="50"/>
        <v>55719.5</v>
      </c>
    </row>
    <row r="116" spans="1:33" ht="35.1" customHeight="1" thickBot="1">
      <c r="A116" s="13"/>
      <c r="B116" s="21"/>
      <c r="C116" s="22" t="s">
        <v>76</v>
      </c>
      <c r="D116" s="22" t="s">
        <v>189</v>
      </c>
      <c r="E116" s="22" t="s">
        <v>107</v>
      </c>
      <c r="F116" s="22" t="s">
        <v>190</v>
      </c>
      <c r="G116" s="22" t="s">
        <v>191</v>
      </c>
      <c r="H116" s="22" t="s">
        <v>192</v>
      </c>
      <c r="I116" s="62" t="s">
        <v>849</v>
      </c>
      <c r="J116" s="39" t="s">
        <v>71</v>
      </c>
      <c r="K116" s="166" t="s">
        <v>850</v>
      </c>
      <c r="L116" s="12"/>
      <c r="M116" s="23" t="s">
        <v>188</v>
      </c>
      <c r="N116" s="12">
        <f>O116+P116+Q116+R116</f>
        <v>110.3</v>
      </c>
      <c r="O116" s="12"/>
      <c r="P116" s="12">
        <v>85.5</v>
      </c>
      <c r="Q116" s="12"/>
      <c r="R116" s="12">
        <v>24.8</v>
      </c>
      <c r="S116" s="12">
        <f t="shared" ref="S116:S121" si="51">T116+U116+V116+W116</f>
        <v>85.5</v>
      </c>
      <c r="T116" s="12"/>
      <c r="U116" s="12">
        <v>85.5</v>
      </c>
      <c r="V116" s="12"/>
      <c r="W116" s="12"/>
      <c r="X116" s="12">
        <f t="shared" ref="X116:X121" si="52">Y116+Z116+AA116+AB116</f>
        <v>85.5</v>
      </c>
      <c r="Y116" s="12"/>
      <c r="Z116" s="12">
        <v>85.5</v>
      </c>
      <c r="AA116" s="12"/>
      <c r="AB116" s="12"/>
      <c r="AC116" s="12">
        <f t="shared" ref="AC116:AC121" si="53">AD116+AE116+AF116+AG116</f>
        <v>85.5</v>
      </c>
      <c r="AD116" s="12"/>
      <c r="AE116" s="12">
        <v>85.5</v>
      </c>
      <c r="AF116" s="12"/>
      <c r="AG116" s="12"/>
    </row>
    <row r="117" spans="1:33" ht="35.1" customHeight="1" thickBot="1">
      <c r="A117" s="13"/>
      <c r="B117" s="21"/>
      <c r="C117" s="22" t="s">
        <v>193</v>
      </c>
      <c r="D117" s="22" t="s">
        <v>27</v>
      </c>
      <c r="E117" s="22" t="s">
        <v>194</v>
      </c>
      <c r="F117" s="153" t="s">
        <v>110</v>
      </c>
      <c r="G117" s="191" t="s">
        <v>111</v>
      </c>
      <c r="H117" s="191" t="s">
        <v>112</v>
      </c>
      <c r="I117" s="25"/>
      <c r="J117" s="25"/>
      <c r="K117" s="25"/>
      <c r="L117" s="12"/>
      <c r="M117" s="23" t="s">
        <v>195</v>
      </c>
      <c r="N117" s="12">
        <f t="shared" ref="N117:N121" si="54">O117+P117+Q117+R117</f>
        <v>4270.6000000000004</v>
      </c>
      <c r="O117" s="12"/>
      <c r="P117" s="12"/>
      <c r="Q117" s="12"/>
      <c r="R117" s="12">
        <f>3329.1+941.5</f>
        <v>4270.6000000000004</v>
      </c>
      <c r="S117" s="12">
        <f t="shared" si="51"/>
        <v>3329.1</v>
      </c>
      <c r="T117" s="12"/>
      <c r="U117" s="12"/>
      <c r="V117" s="12"/>
      <c r="W117" s="12">
        <v>3329.1</v>
      </c>
      <c r="X117" s="12">
        <f t="shared" si="52"/>
        <v>3329.1</v>
      </c>
      <c r="Y117" s="12"/>
      <c r="Z117" s="12"/>
      <c r="AA117" s="12"/>
      <c r="AB117" s="12">
        <v>3329.1</v>
      </c>
      <c r="AC117" s="12">
        <f t="shared" si="53"/>
        <v>3329.1</v>
      </c>
      <c r="AD117" s="12"/>
      <c r="AE117" s="12"/>
      <c r="AF117" s="12"/>
      <c r="AG117" s="12">
        <v>3329.1</v>
      </c>
    </row>
    <row r="118" spans="1:33" ht="35.1" customHeight="1" thickBot="1">
      <c r="A118" s="13"/>
      <c r="B118" s="21"/>
      <c r="C118" s="22" t="s">
        <v>201</v>
      </c>
      <c r="D118" s="22" t="s">
        <v>202</v>
      </c>
      <c r="E118" s="22" t="s">
        <v>203</v>
      </c>
      <c r="F118" s="25"/>
      <c r="G118" s="25"/>
      <c r="H118" s="25"/>
      <c r="I118" s="55" t="s">
        <v>174</v>
      </c>
      <c r="J118" s="25" t="s">
        <v>111</v>
      </c>
      <c r="K118" s="26" t="s">
        <v>655</v>
      </c>
      <c r="L118" s="12"/>
      <c r="M118" s="23" t="s">
        <v>196</v>
      </c>
      <c r="N118" s="12">
        <f t="shared" si="54"/>
        <v>455</v>
      </c>
      <c r="O118" s="12"/>
      <c r="P118" s="12"/>
      <c r="Q118" s="12"/>
      <c r="R118" s="12">
        <v>455</v>
      </c>
      <c r="S118" s="12">
        <f t="shared" si="51"/>
        <v>0</v>
      </c>
      <c r="T118" s="12"/>
      <c r="U118" s="12"/>
      <c r="V118" s="12"/>
      <c r="W118" s="12">
        <v>0</v>
      </c>
      <c r="X118" s="12">
        <f t="shared" si="52"/>
        <v>0</v>
      </c>
      <c r="Y118" s="12"/>
      <c r="Z118" s="12"/>
      <c r="AA118" s="12"/>
      <c r="AB118" s="12">
        <v>0</v>
      </c>
      <c r="AC118" s="12">
        <f t="shared" si="53"/>
        <v>0</v>
      </c>
      <c r="AD118" s="12"/>
      <c r="AE118" s="12"/>
      <c r="AF118" s="12"/>
      <c r="AG118" s="12">
        <v>0</v>
      </c>
    </row>
    <row r="119" spans="1:33" ht="35.1" customHeight="1" thickBot="1">
      <c r="A119" s="13"/>
      <c r="B119" s="21"/>
      <c r="C119" s="25"/>
      <c r="D119" s="25"/>
      <c r="E119" s="25"/>
      <c r="F119" s="25"/>
      <c r="G119" s="25"/>
      <c r="H119" s="25"/>
      <c r="I119" s="25"/>
      <c r="J119" s="25"/>
      <c r="K119" s="25"/>
      <c r="L119" s="12"/>
      <c r="M119" s="23" t="s">
        <v>197</v>
      </c>
      <c r="N119" s="12">
        <f t="shared" si="54"/>
        <v>3465.7999999999997</v>
      </c>
      <c r="O119" s="12"/>
      <c r="P119" s="12"/>
      <c r="Q119" s="12"/>
      <c r="R119" s="12">
        <f>3431.1+34.7</f>
        <v>3465.7999999999997</v>
      </c>
      <c r="S119" s="12">
        <f t="shared" si="51"/>
        <v>3431.1</v>
      </c>
      <c r="T119" s="12"/>
      <c r="U119" s="12"/>
      <c r="V119" s="12"/>
      <c r="W119" s="12">
        <v>3431.1</v>
      </c>
      <c r="X119" s="12">
        <f t="shared" si="52"/>
        <v>3431.1</v>
      </c>
      <c r="Y119" s="12"/>
      <c r="Z119" s="12"/>
      <c r="AA119" s="12"/>
      <c r="AB119" s="12">
        <v>3431.1</v>
      </c>
      <c r="AC119" s="12">
        <f t="shared" si="53"/>
        <v>3431.1</v>
      </c>
      <c r="AD119" s="12"/>
      <c r="AE119" s="12"/>
      <c r="AF119" s="12"/>
      <c r="AG119" s="12">
        <v>3431.1</v>
      </c>
    </row>
    <row r="120" spans="1:33" ht="35.1" customHeight="1" thickBot="1">
      <c r="A120" s="13"/>
      <c r="B120" s="21"/>
      <c r="C120" s="25"/>
      <c r="D120" s="25"/>
      <c r="E120" s="25"/>
      <c r="F120" s="25"/>
      <c r="G120" s="25"/>
      <c r="H120" s="25"/>
      <c r="I120" s="25" t="s">
        <v>198</v>
      </c>
      <c r="J120" s="25" t="s">
        <v>111</v>
      </c>
      <c r="K120" s="26" t="s">
        <v>656</v>
      </c>
      <c r="L120" s="12"/>
      <c r="M120" s="23" t="s">
        <v>199</v>
      </c>
      <c r="N120" s="12">
        <f t="shared" si="54"/>
        <v>54634.8</v>
      </c>
      <c r="O120" s="12"/>
      <c r="P120" s="12">
        <v>4077.1</v>
      </c>
      <c r="Q120" s="12"/>
      <c r="R120" s="12">
        <f>48959.3+1598.4</f>
        <v>50557.700000000004</v>
      </c>
      <c r="S120" s="12">
        <f t="shared" si="51"/>
        <v>48959.3</v>
      </c>
      <c r="T120" s="12"/>
      <c r="U120" s="12"/>
      <c r="V120" s="12"/>
      <c r="W120" s="12">
        <v>48959.3</v>
      </c>
      <c r="X120" s="12">
        <f t="shared" si="52"/>
        <v>48959.3</v>
      </c>
      <c r="Y120" s="12"/>
      <c r="Z120" s="12"/>
      <c r="AA120" s="12"/>
      <c r="AB120" s="12">
        <v>48959.3</v>
      </c>
      <c r="AC120" s="12">
        <f t="shared" si="53"/>
        <v>48959.3</v>
      </c>
      <c r="AD120" s="12"/>
      <c r="AE120" s="12"/>
      <c r="AF120" s="12"/>
      <c r="AG120" s="12">
        <v>48959.3</v>
      </c>
    </row>
    <row r="121" spans="1:33" ht="35.1" customHeight="1" thickBot="1">
      <c r="A121" s="13"/>
      <c r="B121" s="21"/>
      <c r="C121" s="145"/>
      <c r="D121" s="25"/>
      <c r="E121" s="25"/>
      <c r="F121" s="145"/>
      <c r="G121" s="145"/>
      <c r="H121" s="145"/>
      <c r="I121" s="25" t="s">
        <v>851</v>
      </c>
      <c r="J121" s="25" t="s">
        <v>111</v>
      </c>
      <c r="K121" s="25" t="s">
        <v>852</v>
      </c>
      <c r="L121" s="12"/>
      <c r="M121" s="23" t="s">
        <v>200</v>
      </c>
      <c r="N121" s="12">
        <f t="shared" si="54"/>
        <v>69.7</v>
      </c>
      <c r="O121" s="12">
        <v>46</v>
      </c>
      <c r="P121" s="12">
        <v>22.7</v>
      </c>
      <c r="Q121" s="12"/>
      <c r="R121" s="12">
        <v>1</v>
      </c>
      <c r="S121" s="12">
        <f t="shared" si="51"/>
        <v>70.099999999999994</v>
      </c>
      <c r="T121" s="12">
        <v>44.9</v>
      </c>
      <c r="U121" s="12">
        <v>25.2</v>
      </c>
      <c r="V121" s="12"/>
      <c r="W121" s="12"/>
      <c r="X121" s="12">
        <f t="shared" si="52"/>
        <v>71.400000000000006</v>
      </c>
      <c r="Y121" s="12">
        <v>43.6</v>
      </c>
      <c r="Z121" s="12">
        <v>27.8</v>
      </c>
      <c r="AA121" s="12"/>
      <c r="AB121" s="12"/>
      <c r="AC121" s="12">
        <f t="shared" si="53"/>
        <v>71.400000000000006</v>
      </c>
      <c r="AD121" s="12">
        <v>43.6</v>
      </c>
      <c r="AE121" s="12">
        <v>27.8</v>
      </c>
      <c r="AF121" s="12"/>
      <c r="AG121" s="12">
        <v>0</v>
      </c>
    </row>
    <row r="122" spans="1:33" ht="35.1" customHeight="1" thickBot="1">
      <c r="A122" s="16" t="s">
        <v>204</v>
      </c>
      <c r="B122" s="56">
        <v>2531</v>
      </c>
      <c r="C122" s="18"/>
      <c r="D122" s="19"/>
      <c r="E122" s="19"/>
      <c r="F122" s="19"/>
      <c r="G122" s="19"/>
      <c r="H122" s="19"/>
      <c r="I122" s="19"/>
      <c r="J122" s="19"/>
      <c r="K122" s="19"/>
      <c r="L122" s="19">
        <v>7</v>
      </c>
      <c r="M122" s="19"/>
      <c r="N122" s="19">
        <f>N123+N124+N125+N128+N129+N130+N131+N134+N135+N136+N137+N138+N127+N126+N132+N133</f>
        <v>188370.19999999998</v>
      </c>
      <c r="O122" s="19">
        <f t="shared" ref="O122:AG122" si="55">O123+O124+O125+O128+O129+O130+O131+O134+O135+O136+O137+O138+O127+O126+O132+O133</f>
        <v>4300.1000000000004</v>
      </c>
      <c r="P122" s="19">
        <f t="shared" si="55"/>
        <v>15983.8</v>
      </c>
      <c r="Q122" s="19">
        <f t="shared" si="55"/>
        <v>0</v>
      </c>
      <c r="R122" s="19">
        <f t="shared" si="55"/>
        <v>168086.29999999996</v>
      </c>
      <c r="S122" s="19">
        <f t="shared" si="55"/>
        <v>163448.19999999998</v>
      </c>
      <c r="T122" s="19">
        <f t="shared" si="55"/>
        <v>0</v>
      </c>
      <c r="U122" s="19">
        <f t="shared" si="55"/>
        <v>0</v>
      </c>
      <c r="V122" s="19">
        <f t="shared" si="55"/>
        <v>0</v>
      </c>
      <c r="W122" s="19">
        <f t="shared" si="55"/>
        <v>163448.19999999998</v>
      </c>
      <c r="X122" s="19">
        <f t="shared" si="55"/>
        <v>163448.19999999998</v>
      </c>
      <c r="Y122" s="19">
        <f t="shared" si="55"/>
        <v>0</v>
      </c>
      <c r="Z122" s="19">
        <f t="shared" si="55"/>
        <v>0</v>
      </c>
      <c r="AA122" s="19">
        <f t="shared" si="55"/>
        <v>0</v>
      </c>
      <c r="AB122" s="19">
        <f t="shared" si="55"/>
        <v>163448.19999999998</v>
      </c>
      <c r="AC122" s="19">
        <f t="shared" si="55"/>
        <v>163448.19999999998</v>
      </c>
      <c r="AD122" s="19">
        <f t="shared" si="55"/>
        <v>0</v>
      </c>
      <c r="AE122" s="19">
        <f t="shared" si="55"/>
        <v>0</v>
      </c>
      <c r="AF122" s="19">
        <f t="shared" si="55"/>
        <v>0</v>
      </c>
      <c r="AG122" s="19">
        <f t="shared" si="55"/>
        <v>163448.19999999998</v>
      </c>
    </row>
    <row r="123" spans="1:33" ht="35.1" customHeight="1" thickBot="1">
      <c r="A123" s="13"/>
      <c r="B123" s="21"/>
      <c r="C123" s="22" t="s">
        <v>76</v>
      </c>
      <c r="D123" s="22" t="s">
        <v>205</v>
      </c>
      <c r="E123" s="22" t="s">
        <v>107</v>
      </c>
      <c r="F123" s="22" t="s">
        <v>206</v>
      </c>
      <c r="G123" s="22" t="s">
        <v>207</v>
      </c>
      <c r="H123" s="22" t="s">
        <v>208</v>
      </c>
      <c r="I123" s="62" t="s">
        <v>639</v>
      </c>
      <c r="J123" s="39" t="s">
        <v>647</v>
      </c>
      <c r="K123" s="166" t="s">
        <v>640</v>
      </c>
      <c r="L123" s="12"/>
      <c r="M123" s="23" t="s">
        <v>214</v>
      </c>
      <c r="N123" s="12">
        <f t="shared" ref="N123:N138" si="56">O123+P123+Q123+R123</f>
        <v>1061.5</v>
      </c>
      <c r="O123" s="12"/>
      <c r="P123" s="12"/>
      <c r="Q123" s="12"/>
      <c r="R123" s="12">
        <f>865.5+196</f>
        <v>1061.5</v>
      </c>
      <c r="S123" s="12">
        <f t="shared" ref="S123:S126" si="57">T123+U123+V123+W123</f>
        <v>865.5</v>
      </c>
      <c r="T123" s="12"/>
      <c r="U123" s="12"/>
      <c r="V123" s="12"/>
      <c r="W123" s="12">
        <v>865.5</v>
      </c>
      <c r="X123" s="12">
        <f>Y123+Z123+AB123</f>
        <v>865.5</v>
      </c>
      <c r="Y123" s="12"/>
      <c r="Z123" s="12"/>
      <c r="AA123" s="12"/>
      <c r="AB123" s="12">
        <v>865.5</v>
      </c>
      <c r="AC123" s="12">
        <f>AD123+AE123+AG123</f>
        <v>865.5</v>
      </c>
      <c r="AD123" s="12"/>
      <c r="AE123" s="12"/>
      <c r="AF123" s="12"/>
      <c r="AG123" s="12">
        <v>865.5</v>
      </c>
    </row>
    <row r="124" spans="1:33" ht="35.1" customHeight="1" thickBot="1">
      <c r="A124" s="13"/>
      <c r="B124" s="21"/>
      <c r="C124" s="22" t="s">
        <v>209</v>
      </c>
      <c r="D124" s="22" t="s">
        <v>210</v>
      </c>
      <c r="E124" s="22" t="s">
        <v>211</v>
      </c>
      <c r="F124" s="39" t="s">
        <v>213</v>
      </c>
      <c r="G124" s="25" t="s">
        <v>111</v>
      </c>
      <c r="H124" s="26" t="s">
        <v>657</v>
      </c>
      <c r="I124" s="192" t="s">
        <v>645</v>
      </c>
      <c r="J124" s="194" t="s">
        <v>111</v>
      </c>
      <c r="K124" s="55" t="s">
        <v>648</v>
      </c>
      <c r="L124" s="12"/>
      <c r="M124" s="23" t="s">
        <v>215</v>
      </c>
      <c r="N124" s="12">
        <f t="shared" si="56"/>
        <v>885.5</v>
      </c>
      <c r="O124" s="12"/>
      <c r="P124" s="12"/>
      <c r="Q124" s="12"/>
      <c r="R124" s="12">
        <v>885.5</v>
      </c>
      <c r="S124" s="12">
        <f t="shared" si="57"/>
        <v>885.5</v>
      </c>
      <c r="T124" s="12"/>
      <c r="U124" s="12"/>
      <c r="V124" s="12"/>
      <c r="W124" s="12">
        <v>885.5</v>
      </c>
      <c r="X124" s="12">
        <f>Y124+Z124+AB124</f>
        <v>885.5</v>
      </c>
      <c r="Y124" s="12"/>
      <c r="Z124" s="12"/>
      <c r="AA124" s="12"/>
      <c r="AB124" s="12">
        <v>885.5</v>
      </c>
      <c r="AC124" s="12">
        <f>AD124+AE124+AG124</f>
        <v>885.5</v>
      </c>
      <c r="AD124" s="12"/>
      <c r="AE124" s="12"/>
      <c r="AF124" s="12"/>
      <c r="AG124" s="12">
        <v>885.5</v>
      </c>
    </row>
    <row r="125" spans="1:33" ht="35.1" customHeight="1" thickBot="1">
      <c r="A125" s="13"/>
      <c r="B125" s="36"/>
      <c r="C125" s="183" t="s">
        <v>212</v>
      </c>
      <c r="D125" s="145" t="s">
        <v>111</v>
      </c>
      <c r="E125" s="145"/>
      <c r="F125" s="153" t="s">
        <v>110</v>
      </c>
      <c r="G125" s="191" t="s">
        <v>111</v>
      </c>
      <c r="H125" s="191" t="s">
        <v>112</v>
      </c>
      <c r="I125" s="192" t="s">
        <v>174</v>
      </c>
      <c r="J125" s="145" t="s">
        <v>111</v>
      </c>
      <c r="K125" s="25" t="s">
        <v>658</v>
      </c>
      <c r="L125" s="12"/>
      <c r="M125" s="23" t="s">
        <v>216</v>
      </c>
      <c r="N125" s="12">
        <f t="shared" si="56"/>
        <v>28015.8</v>
      </c>
      <c r="O125" s="12"/>
      <c r="P125" s="12">
        <v>2038.6</v>
      </c>
      <c r="Q125" s="12"/>
      <c r="R125" s="12">
        <f>25005+972.2</f>
        <v>25977.200000000001</v>
      </c>
      <c r="S125" s="12">
        <f t="shared" si="57"/>
        <v>25005</v>
      </c>
      <c r="T125" s="12"/>
      <c r="U125" s="12"/>
      <c r="V125" s="12"/>
      <c r="W125" s="12">
        <v>25005</v>
      </c>
      <c r="X125" s="12">
        <f>Y125+Z125+AB125</f>
        <v>25005</v>
      </c>
      <c r="Y125" s="12"/>
      <c r="Z125" s="12"/>
      <c r="AA125" s="12"/>
      <c r="AB125" s="12">
        <v>25005</v>
      </c>
      <c r="AC125" s="12">
        <f>AD125+AE125+AG125</f>
        <v>25005</v>
      </c>
      <c r="AD125" s="12"/>
      <c r="AE125" s="12"/>
      <c r="AF125" s="12"/>
      <c r="AG125" s="12">
        <v>25005</v>
      </c>
    </row>
    <row r="126" spans="1:33" ht="35.1" customHeight="1" thickBot="1">
      <c r="A126" s="125"/>
      <c r="B126" s="24"/>
      <c r="C126" s="25"/>
      <c r="D126" s="25"/>
      <c r="E126" s="25"/>
      <c r="F126" s="183"/>
      <c r="G126" s="145"/>
      <c r="H126" s="145"/>
      <c r="I126" s="55" t="s">
        <v>843</v>
      </c>
      <c r="J126" s="25" t="s">
        <v>71</v>
      </c>
      <c r="K126" s="25" t="s">
        <v>844</v>
      </c>
      <c r="L126" s="12"/>
      <c r="M126" s="23" t="s">
        <v>217</v>
      </c>
      <c r="N126" s="12">
        <f t="shared" si="56"/>
        <v>1447.5</v>
      </c>
      <c r="O126" s="12">
        <v>1300.0999999999999</v>
      </c>
      <c r="P126" s="12">
        <v>144.5</v>
      </c>
      <c r="Q126" s="12"/>
      <c r="R126" s="12">
        <v>2.9</v>
      </c>
      <c r="S126" s="12">
        <f t="shared" si="57"/>
        <v>0</v>
      </c>
      <c r="T126" s="12"/>
      <c r="U126" s="12">
        <v>0</v>
      </c>
      <c r="V126" s="12"/>
      <c r="W126" s="12"/>
      <c r="X126" s="12">
        <v>0</v>
      </c>
      <c r="Y126" s="12"/>
      <c r="Z126" s="12">
        <v>0</v>
      </c>
      <c r="AA126" s="12"/>
      <c r="AB126" s="12"/>
      <c r="AC126" s="12">
        <v>0</v>
      </c>
      <c r="AD126" s="12"/>
      <c r="AE126" s="12">
        <v>0</v>
      </c>
      <c r="AF126" s="12"/>
      <c r="AG126" s="12"/>
    </row>
    <row r="127" spans="1:33" ht="35.1" customHeight="1" thickBot="1">
      <c r="A127" s="13"/>
      <c r="B127" s="21"/>
      <c r="C127" s="153"/>
      <c r="D127" s="153"/>
      <c r="E127" s="153"/>
      <c r="F127" s="25"/>
      <c r="G127" s="25"/>
      <c r="H127" s="25"/>
      <c r="I127" s="25" t="s">
        <v>218</v>
      </c>
      <c r="J127" s="25" t="s">
        <v>111</v>
      </c>
      <c r="K127" s="26">
        <v>46023</v>
      </c>
      <c r="L127" s="12"/>
      <c r="M127" s="23" t="s">
        <v>219</v>
      </c>
      <c r="N127" s="12">
        <f t="shared" si="56"/>
        <v>2.9</v>
      </c>
      <c r="O127" s="12"/>
      <c r="P127" s="12">
        <v>0</v>
      </c>
      <c r="Q127" s="12"/>
      <c r="R127" s="12">
        <v>2.9</v>
      </c>
      <c r="S127" s="12">
        <v>0</v>
      </c>
      <c r="T127" s="12"/>
      <c r="U127" s="12">
        <v>0</v>
      </c>
      <c r="V127" s="12"/>
      <c r="W127" s="12"/>
      <c r="X127" s="12">
        <v>0</v>
      </c>
      <c r="Y127" s="12"/>
      <c r="Z127" s="12">
        <v>0</v>
      </c>
      <c r="AA127" s="12"/>
      <c r="AB127" s="12"/>
      <c r="AC127" s="12">
        <v>0</v>
      </c>
      <c r="AD127" s="12"/>
      <c r="AE127" s="12">
        <v>0</v>
      </c>
      <c r="AF127" s="12"/>
      <c r="AG127" s="12"/>
    </row>
    <row r="128" spans="1:33" ht="35.1" customHeight="1" thickBot="1">
      <c r="A128" s="13"/>
      <c r="B128" s="21"/>
      <c r="C128" s="25"/>
      <c r="D128" s="25"/>
      <c r="E128" s="25"/>
      <c r="F128" s="25"/>
      <c r="G128" s="25"/>
      <c r="H128" s="25"/>
      <c r="I128" s="55" t="s">
        <v>174</v>
      </c>
      <c r="J128" s="25" t="s">
        <v>111</v>
      </c>
      <c r="K128" s="26" t="s">
        <v>655</v>
      </c>
      <c r="L128" s="12"/>
      <c r="M128" s="23" t="s">
        <v>220</v>
      </c>
      <c r="N128" s="12">
        <f t="shared" si="56"/>
        <v>13861.7</v>
      </c>
      <c r="O128" s="12"/>
      <c r="P128" s="12"/>
      <c r="Q128" s="12"/>
      <c r="R128" s="12">
        <f>8501.7+5360</f>
        <v>13861.7</v>
      </c>
      <c r="S128" s="12">
        <f t="shared" ref="S128:S133" si="58">T128+U128+V128+W128</f>
        <v>8501.7000000000007</v>
      </c>
      <c r="T128" s="12"/>
      <c r="U128" s="12"/>
      <c r="V128" s="12"/>
      <c r="W128" s="12">
        <v>8501.7000000000007</v>
      </c>
      <c r="X128" s="12">
        <f t="shared" ref="X128:X132" si="59">Y128+Z128+AB128</f>
        <v>8501.7000000000007</v>
      </c>
      <c r="Y128" s="12"/>
      <c r="Z128" s="12"/>
      <c r="AA128" s="12"/>
      <c r="AB128" s="12">
        <v>8501.7000000000007</v>
      </c>
      <c r="AC128" s="12">
        <f t="shared" ref="AC128:AC132" si="60">AD128+AE128+AG128</f>
        <v>8501.7000000000007</v>
      </c>
      <c r="AD128" s="12"/>
      <c r="AE128" s="12"/>
      <c r="AF128" s="12"/>
      <c r="AG128" s="12">
        <v>8501.7000000000007</v>
      </c>
    </row>
    <row r="129" spans="1:33" ht="35.1" customHeight="1" thickBot="1">
      <c r="A129" s="13"/>
      <c r="B129" s="21"/>
      <c r="C129" s="25"/>
      <c r="D129" s="25"/>
      <c r="E129" s="25"/>
      <c r="F129" s="25"/>
      <c r="G129" s="25"/>
      <c r="H129" s="25"/>
      <c r="I129" s="25"/>
      <c r="J129" s="25"/>
      <c r="K129" s="25"/>
      <c r="L129" s="12"/>
      <c r="M129" s="23" t="s">
        <v>221</v>
      </c>
      <c r="N129" s="12">
        <f t="shared" si="56"/>
        <v>1268.3</v>
      </c>
      <c r="O129" s="12"/>
      <c r="P129" s="12"/>
      <c r="Q129" s="12"/>
      <c r="R129" s="12">
        <v>1268.3</v>
      </c>
      <c r="S129" s="12">
        <f t="shared" si="58"/>
        <v>0</v>
      </c>
      <c r="T129" s="12"/>
      <c r="U129" s="12"/>
      <c r="V129" s="12"/>
      <c r="W129" s="12">
        <v>0</v>
      </c>
      <c r="X129" s="12">
        <f t="shared" si="59"/>
        <v>0</v>
      </c>
      <c r="Y129" s="12"/>
      <c r="Z129" s="12"/>
      <c r="AA129" s="12"/>
      <c r="AB129" s="12">
        <v>0</v>
      </c>
      <c r="AC129" s="12">
        <f t="shared" si="60"/>
        <v>0</v>
      </c>
      <c r="AD129" s="12"/>
      <c r="AE129" s="12"/>
      <c r="AF129" s="12"/>
      <c r="AG129" s="12">
        <v>0</v>
      </c>
    </row>
    <row r="130" spans="1:33" ht="35.1" customHeight="1" thickBot="1">
      <c r="A130" s="13"/>
      <c r="B130" s="21"/>
      <c r="C130" s="25"/>
      <c r="D130" s="25"/>
      <c r="E130" s="25"/>
      <c r="F130" s="25"/>
      <c r="G130" s="25"/>
      <c r="H130" s="25"/>
      <c r="I130" s="55"/>
      <c r="J130" s="25"/>
      <c r="K130" s="25"/>
      <c r="L130" s="12"/>
      <c r="M130" s="23" t="s">
        <v>222</v>
      </c>
      <c r="N130" s="12">
        <f t="shared" si="56"/>
        <v>7330.9</v>
      </c>
      <c r="O130" s="12"/>
      <c r="P130" s="12"/>
      <c r="Q130" s="12"/>
      <c r="R130" s="12">
        <v>7330.9</v>
      </c>
      <c r="S130" s="12">
        <f t="shared" si="58"/>
        <v>7330.9</v>
      </c>
      <c r="T130" s="12"/>
      <c r="U130" s="12"/>
      <c r="V130" s="12"/>
      <c r="W130" s="12">
        <v>7330.9</v>
      </c>
      <c r="X130" s="12">
        <f t="shared" si="59"/>
        <v>7330.9</v>
      </c>
      <c r="Y130" s="12"/>
      <c r="Z130" s="12"/>
      <c r="AA130" s="12"/>
      <c r="AB130" s="12">
        <v>7330.9</v>
      </c>
      <c r="AC130" s="12">
        <f t="shared" si="60"/>
        <v>7330.9</v>
      </c>
      <c r="AD130" s="12"/>
      <c r="AE130" s="12"/>
      <c r="AF130" s="12"/>
      <c r="AG130" s="12">
        <v>7330.9</v>
      </c>
    </row>
    <row r="131" spans="1:33" ht="35.1" customHeight="1" thickBot="1">
      <c r="A131" s="13"/>
      <c r="B131" s="21"/>
      <c r="C131" s="25"/>
      <c r="D131" s="25"/>
      <c r="E131" s="25"/>
      <c r="F131" s="25"/>
      <c r="G131" s="25"/>
      <c r="H131" s="25"/>
      <c r="I131" s="55"/>
      <c r="J131" s="25"/>
      <c r="K131" s="25"/>
      <c r="L131" s="12"/>
      <c r="M131" s="23" t="s">
        <v>223</v>
      </c>
      <c r="N131" s="12">
        <f t="shared" si="56"/>
        <v>66185.7</v>
      </c>
      <c r="O131" s="12"/>
      <c r="P131" s="12">
        <v>4966.2</v>
      </c>
      <c r="Q131" s="12"/>
      <c r="R131" s="12">
        <f>59324.2+1895.3</f>
        <v>61219.5</v>
      </c>
      <c r="S131" s="12">
        <f t="shared" si="58"/>
        <v>59324.2</v>
      </c>
      <c r="T131" s="12"/>
      <c r="U131" s="12"/>
      <c r="V131" s="12"/>
      <c r="W131" s="12">
        <v>59324.2</v>
      </c>
      <c r="X131" s="12">
        <f t="shared" si="59"/>
        <v>59324.2</v>
      </c>
      <c r="Y131" s="12"/>
      <c r="Z131" s="12"/>
      <c r="AA131" s="12"/>
      <c r="AB131" s="12">
        <v>59324.2</v>
      </c>
      <c r="AC131" s="12">
        <f t="shared" si="60"/>
        <v>59324.2</v>
      </c>
      <c r="AD131" s="12"/>
      <c r="AE131" s="12"/>
      <c r="AF131" s="12"/>
      <c r="AG131" s="12">
        <v>59324.2</v>
      </c>
    </row>
    <row r="132" spans="1:33" ht="35.1" customHeight="1" thickBot="1">
      <c r="A132" s="13"/>
      <c r="B132" s="21"/>
      <c r="C132" s="25"/>
      <c r="D132" s="25"/>
      <c r="E132" s="25"/>
      <c r="F132" s="25"/>
      <c r="G132" s="25"/>
      <c r="H132" s="25"/>
      <c r="I132" s="25"/>
      <c r="J132" s="25"/>
      <c r="K132" s="25"/>
      <c r="L132" s="12"/>
      <c r="M132" s="23" t="s">
        <v>224</v>
      </c>
      <c r="N132" s="12">
        <f t="shared" si="56"/>
        <v>55</v>
      </c>
      <c r="O132" s="12"/>
      <c r="P132" s="12"/>
      <c r="Q132" s="12"/>
      <c r="R132" s="12">
        <v>55</v>
      </c>
      <c r="S132" s="12">
        <f t="shared" si="58"/>
        <v>55</v>
      </c>
      <c r="T132" s="12"/>
      <c r="U132" s="12"/>
      <c r="V132" s="12"/>
      <c r="W132" s="12">
        <v>55</v>
      </c>
      <c r="X132" s="12">
        <f t="shared" si="59"/>
        <v>55</v>
      </c>
      <c r="Y132" s="12"/>
      <c r="Z132" s="12"/>
      <c r="AA132" s="12"/>
      <c r="AB132" s="12">
        <v>55</v>
      </c>
      <c r="AC132" s="12">
        <f t="shared" si="60"/>
        <v>55</v>
      </c>
      <c r="AD132" s="12"/>
      <c r="AE132" s="12"/>
      <c r="AF132" s="12"/>
      <c r="AG132" s="12">
        <v>55</v>
      </c>
    </row>
    <row r="133" spans="1:33" ht="35.1" customHeight="1" thickBot="1">
      <c r="A133" s="13"/>
      <c r="B133" s="21"/>
      <c r="C133" s="25"/>
      <c r="D133" s="25"/>
      <c r="E133" s="25"/>
      <c r="F133" s="25"/>
      <c r="G133" s="25"/>
      <c r="H133" s="25"/>
      <c r="I133" s="25" t="s">
        <v>845</v>
      </c>
      <c r="J133" s="25" t="s">
        <v>111</v>
      </c>
      <c r="K133" s="25" t="s">
        <v>846</v>
      </c>
      <c r="L133" s="12"/>
      <c r="M133" s="23" t="s">
        <v>225</v>
      </c>
      <c r="N133" s="12">
        <f t="shared" si="56"/>
        <v>3384.2000000000003</v>
      </c>
      <c r="O133" s="12">
        <v>3000</v>
      </c>
      <c r="P133" s="12">
        <v>333.4</v>
      </c>
      <c r="Q133" s="12"/>
      <c r="R133" s="12">
        <v>50.8</v>
      </c>
      <c r="S133" s="12">
        <f t="shared" si="58"/>
        <v>0</v>
      </c>
      <c r="T133" s="12">
        <v>0</v>
      </c>
      <c r="U133" s="12">
        <v>0</v>
      </c>
      <c r="V133" s="12"/>
      <c r="W133" s="12">
        <v>0</v>
      </c>
      <c r="X133" s="12">
        <v>0</v>
      </c>
      <c r="Y133" s="12"/>
      <c r="Z133" s="12"/>
      <c r="AA133" s="12"/>
      <c r="AB133" s="12">
        <v>0</v>
      </c>
      <c r="AC133" s="12">
        <v>0</v>
      </c>
      <c r="AD133" s="12"/>
      <c r="AE133" s="12"/>
      <c r="AF133" s="12"/>
      <c r="AG133" s="12">
        <v>0</v>
      </c>
    </row>
    <row r="134" spans="1:33" ht="35.1" customHeight="1" thickBot="1">
      <c r="A134" s="13"/>
      <c r="B134" s="21"/>
      <c r="C134" s="25"/>
      <c r="D134" s="25"/>
      <c r="E134" s="25"/>
      <c r="F134" s="25"/>
      <c r="G134" s="25"/>
      <c r="H134" s="25"/>
      <c r="I134" s="25" t="s">
        <v>226</v>
      </c>
      <c r="J134" s="25" t="s">
        <v>111</v>
      </c>
      <c r="K134" s="25" t="s">
        <v>659</v>
      </c>
      <c r="L134" s="12"/>
      <c r="M134" s="23" t="s">
        <v>227</v>
      </c>
      <c r="N134" s="12">
        <f t="shared" si="56"/>
        <v>61293.499999999993</v>
      </c>
      <c r="O134" s="12"/>
      <c r="P134" s="12">
        <v>8501.1</v>
      </c>
      <c r="Q134" s="12"/>
      <c r="R134" s="12">
        <f>64074.2-11281.8</f>
        <v>52792.399999999994</v>
      </c>
      <c r="S134" s="12">
        <f>T134+U134+V134+W134</f>
        <v>58548</v>
      </c>
      <c r="T134" s="12"/>
      <c r="U134" s="12"/>
      <c r="V134" s="12"/>
      <c r="W134" s="12">
        <f>64074.2-5526.2</f>
        <v>58548</v>
      </c>
      <c r="X134" s="12">
        <f>Y134+Z134+AB134</f>
        <v>58548</v>
      </c>
      <c r="Y134" s="12"/>
      <c r="Z134" s="12"/>
      <c r="AA134" s="12"/>
      <c r="AB134" s="12">
        <f>64074.2-5526.2</f>
        <v>58548</v>
      </c>
      <c r="AC134" s="12">
        <f>AD134+AE134+AG134</f>
        <v>58548</v>
      </c>
      <c r="AD134" s="12"/>
      <c r="AE134" s="12"/>
      <c r="AF134" s="12"/>
      <c r="AG134" s="12">
        <f>64074.2-5526.2</f>
        <v>58548</v>
      </c>
    </row>
    <row r="135" spans="1:33" ht="35.1" customHeight="1" thickBot="1">
      <c r="A135" s="13"/>
      <c r="B135" s="36"/>
      <c r="C135" s="145"/>
      <c r="D135" s="145"/>
      <c r="E135" s="145"/>
      <c r="F135" s="25"/>
      <c r="G135" s="25"/>
      <c r="H135" s="25"/>
      <c r="I135" s="25"/>
      <c r="J135" s="25"/>
      <c r="K135" s="25"/>
      <c r="L135" s="12"/>
      <c r="M135" s="23" t="s">
        <v>228</v>
      </c>
      <c r="N135" s="12">
        <f t="shared" si="56"/>
        <v>3083.8</v>
      </c>
      <c r="O135" s="12"/>
      <c r="P135" s="12"/>
      <c r="Q135" s="12"/>
      <c r="R135" s="12">
        <f>6621.8-3538</f>
        <v>3083.8</v>
      </c>
      <c r="S135" s="12">
        <f>T135+U135+V135+W135</f>
        <v>2803.8</v>
      </c>
      <c r="T135" s="12"/>
      <c r="U135" s="12"/>
      <c r="V135" s="12"/>
      <c r="W135" s="12">
        <f>6621.8-3818</f>
        <v>2803.8</v>
      </c>
      <c r="X135" s="12">
        <f>Y135+Z135+AB135</f>
        <v>2803.8</v>
      </c>
      <c r="Y135" s="12"/>
      <c r="Z135" s="12"/>
      <c r="AA135" s="12"/>
      <c r="AB135" s="12">
        <f>6621.8-3818</f>
        <v>2803.8</v>
      </c>
      <c r="AC135" s="12">
        <f>AD135+AE135+AG135</f>
        <v>2803.8</v>
      </c>
      <c r="AD135" s="12"/>
      <c r="AE135" s="12"/>
      <c r="AF135" s="12"/>
      <c r="AG135" s="12">
        <f>6621.8-3818</f>
        <v>2803.8</v>
      </c>
    </row>
    <row r="136" spans="1:33" ht="35.1" customHeight="1" thickBot="1">
      <c r="A136" s="125"/>
      <c r="B136" s="24"/>
      <c r="C136" s="209"/>
      <c r="D136" s="209"/>
      <c r="E136" s="209"/>
      <c r="F136" s="25"/>
      <c r="G136" s="25"/>
      <c r="H136" s="25"/>
      <c r="I136" s="25"/>
      <c r="J136" s="25"/>
      <c r="K136" s="25"/>
      <c r="L136" s="12"/>
      <c r="M136" s="23" t="s">
        <v>229</v>
      </c>
      <c r="N136" s="12">
        <f t="shared" si="56"/>
        <v>146.10000000000014</v>
      </c>
      <c r="O136" s="12"/>
      <c r="P136" s="12"/>
      <c r="Q136" s="12"/>
      <c r="R136" s="12">
        <f>1533.7-1387.6</f>
        <v>146.10000000000014</v>
      </c>
      <c r="S136" s="12">
        <f>T136+U136+V136+W136</f>
        <v>113.60000000000014</v>
      </c>
      <c r="T136" s="12"/>
      <c r="U136" s="12"/>
      <c r="V136" s="12"/>
      <c r="W136" s="12">
        <f>1533.7-1420.1</f>
        <v>113.60000000000014</v>
      </c>
      <c r="X136" s="12">
        <f>Y136+Z136+AB136</f>
        <v>113.60000000000014</v>
      </c>
      <c r="Y136" s="12"/>
      <c r="Z136" s="12"/>
      <c r="AA136" s="12"/>
      <c r="AB136" s="12">
        <f>1533.7-1420.1</f>
        <v>113.60000000000014</v>
      </c>
      <c r="AC136" s="12">
        <f>AD136+AE136+AG136</f>
        <v>113.60000000000014</v>
      </c>
      <c r="AD136" s="12"/>
      <c r="AE136" s="12"/>
      <c r="AF136" s="12"/>
      <c r="AG136" s="12">
        <f>1533.7-1420.1</f>
        <v>113.60000000000014</v>
      </c>
    </row>
    <row r="137" spans="1:33" ht="35.1" customHeight="1" thickBot="1">
      <c r="A137" s="13"/>
      <c r="B137" s="21"/>
      <c r="C137" s="153"/>
      <c r="D137" s="153"/>
      <c r="E137" s="153"/>
      <c r="F137" s="25"/>
      <c r="G137" s="25"/>
      <c r="H137" s="25"/>
      <c r="I137" s="25"/>
      <c r="J137" s="25"/>
      <c r="K137" s="25"/>
      <c r="L137" s="12"/>
      <c r="M137" s="23" t="s">
        <v>230</v>
      </c>
      <c r="N137" s="12">
        <f t="shared" si="56"/>
        <v>332.8</v>
      </c>
      <c r="O137" s="12"/>
      <c r="P137" s="12"/>
      <c r="Q137" s="12"/>
      <c r="R137" s="12">
        <v>332.8</v>
      </c>
      <c r="S137" s="12">
        <f t="shared" ref="S137" si="61">T137+U137+V137+W137</f>
        <v>0</v>
      </c>
      <c r="T137" s="12"/>
      <c r="U137" s="12"/>
      <c r="V137" s="12"/>
      <c r="W137" s="12">
        <v>0</v>
      </c>
      <c r="X137" s="12">
        <f t="shared" ref="X137" si="62">Y137+Z137+AB137</f>
        <v>0</v>
      </c>
      <c r="Y137" s="12"/>
      <c r="Z137" s="12"/>
      <c r="AA137" s="12"/>
      <c r="AB137" s="12">
        <v>0</v>
      </c>
      <c r="AC137" s="12">
        <f>AD137+AE137+AG137</f>
        <v>0</v>
      </c>
      <c r="AD137" s="12"/>
      <c r="AE137" s="12"/>
      <c r="AF137" s="12"/>
      <c r="AG137" s="12">
        <v>0</v>
      </c>
    </row>
    <row r="138" spans="1:33" ht="35.1" customHeight="1" thickBot="1">
      <c r="A138" s="13"/>
      <c r="B138" s="21"/>
      <c r="C138" s="25"/>
      <c r="D138" s="25"/>
      <c r="E138" s="25"/>
      <c r="F138" s="25"/>
      <c r="G138" s="25"/>
      <c r="H138" s="25"/>
      <c r="I138" s="25"/>
      <c r="J138" s="25"/>
      <c r="K138" s="25"/>
      <c r="L138" s="12"/>
      <c r="M138" s="23" t="s">
        <v>231</v>
      </c>
      <c r="N138" s="12">
        <f t="shared" si="56"/>
        <v>15</v>
      </c>
      <c r="O138" s="12"/>
      <c r="P138" s="12"/>
      <c r="Q138" s="12"/>
      <c r="R138" s="12">
        <v>15</v>
      </c>
      <c r="S138" s="12">
        <f>T138+U138+V138+W138</f>
        <v>15</v>
      </c>
      <c r="T138" s="12"/>
      <c r="U138" s="12"/>
      <c r="V138" s="12"/>
      <c r="W138" s="12">
        <v>15</v>
      </c>
      <c r="X138" s="12">
        <f>Y138+Z138+AB138</f>
        <v>15</v>
      </c>
      <c r="Y138" s="12"/>
      <c r="Z138" s="12"/>
      <c r="AA138" s="12"/>
      <c r="AB138" s="12">
        <v>15</v>
      </c>
      <c r="AC138" s="12">
        <f>AD138+AE138+AG138</f>
        <v>15</v>
      </c>
      <c r="AD138" s="12"/>
      <c r="AE138" s="12"/>
      <c r="AF138" s="12"/>
      <c r="AG138" s="12">
        <v>15</v>
      </c>
    </row>
    <row r="139" spans="1:33" ht="35.1" customHeight="1" thickBot="1">
      <c r="A139" s="16" t="s">
        <v>232</v>
      </c>
      <c r="B139" s="56">
        <v>2534</v>
      </c>
      <c r="C139" s="18"/>
      <c r="D139" s="19"/>
      <c r="E139" s="19"/>
      <c r="F139" s="19"/>
      <c r="G139" s="19"/>
      <c r="H139" s="19"/>
      <c r="I139" s="19"/>
      <c r="J139" s="19"/>
      <c r="K139" s="19"/>
      <c r="L139" s="19">
        <v>11</v>
      </c>
      <c r="M139" s="64"/>
      <c r="N139" s="19">
        <f t="shared" ref="N139:AG139" si="63">N140+N141+N142+N143+N144+N148+N149+N150+N151+N147+N146+N152+N145</f>
        <v>96432.900000000009</v>
      </c>
      <c r="O139" s="19">
        <f t="shared" si="63"/>
        <v>0</v>
      </c>
      <c r="P139" s="19">
        <f t="shared" si="63"/>
        <v>12600.599999999999</v>
      </c>
      <c r="Q139" s="19">
        <f t="shared" si="63"/>
        <v>0</v>
      </c>
      <c r="R139" s="19">
        <f t="shared" si="63"/>
        <v>83832.3</v>
      </c>
      <c r="S139" s="19">
        <f t="shared" si="63"/>
        <v>76299.700000000012</v>
      </c>
      <c r="T139" s="19">
        <f t="shared" si="63"/>
        <v>0</v>
      </c>
      <c r="U139" s="19">
        <f t="shared" si="63"/>
        <v>0</v>
      </c>
      <c r="V139" s="19">
        <f t="shared" si="63"/>
        <v>0</v>
      </c>
      <c r="W139" s="19">
        <f t="shared" si="63"/>
        <v>76299.700000000012</v>
      </c>
      <c r="X139" s="19">
        <f t="shared" si="63"/>
        <v>76299.700000000012</v>
      </c>
      <c r="Y139" s="19">
        <f t="shared" si="63"/>
        <v>0</v>
      </c>
      <c r="Z139" s="19">
        <f t="shared" si="63"/>
        <v>0</v>
      </c>
      <c r="AA139" s="19">
        <f t="shared" si="63"/>
        <v>0</v>
      </c>
      <c r="AB139" s="19">
        <f t="shared" si="63"/>
        <v>76299.700000000012</v>
      </c>
      <c r="AC139" s="19">
        <f t="shared" si="63"/>
        <v>76299.700000000012</v>
      </c>
      <c r="AD139" s="19">
        <f t="shared" si="63"/>
        <v>0</v>
      </c>
      <c r="AE139" s="19">
        <f t="shared" si="63"/>
        <v>0</v>
      </c>
      <c r="AF139" s="19">
        <f t="shared" si="63"/>
        <v>0</v>
      </c>
      <c r="AG139" s="19">
        <f t="shared" si="63"/>
        <v>76299.700000000012</v>
      </c>
    </row>
    <row r="140" spans="1:33" ht="35.1" customHeight="1" thickBot="1">
      <c r="A140" s="13"/>
      <c r="B140" s="21"/>
      <c r="C140" s="194" t="s">
        <v>233</v>
      </c>
      <c r="D140" s="194" t="s">
        <v>234</v>
      </c>
      <c r="E140" s="194" t="s">
        <v>235</v>
      </c>
      <c r="F140" s="153" t="s">
        <v>110</v>
      </c>
      <c r="G140" s="191" t="s">
        <v>111</v>
      </c>
      <c r="H140" s="191" t="s">
        <v>112</v>
      </c>
      <c r="I140" s="62" t="s">
        <v>639</v>
      </c>
      <c r="J140" s="39" t="s">
        <v>646</v>
      </c>
      <c r="K140" s="166" t="s">
        <v>640</v>
      </c>
      <c r="L140" s="194"/>
      <c r="M140" s="194" t="s">
        <v>237</v>
      </c>
      <c r="N140" s="12">
        <f t="shared" ref="N140:N143" si="64">O140+P140+Q140+R140</f>
        <v>11044.3</v>
      </c>
      <c r="O140" s="12"/>
      <c r="P140" s="12"/>
      <c r="Q140" s="12"/>
      <c r="R140" s="12">
        <f>8186.9+2857.4</f>
        <v>11044.3</v>
      </c>
      <c r="S140" s="12">
        <f t="shared" ref="S140:S143" si="65">T140+U140+V140+W140</f>
        <v>8186.9</v>
      </c>
      <c r="T140" s="12"/>
      <c r="U140" s="12"/>
      <c r="V140" s="12"/>
      <c r="W140" s="12">
        <v>8186.9</v>
      </c>
      <c r="X140" s="12">
        <f t="shared" ref="X140:X144" si="66">Y140+Z140+AA140+AB140</f>
        <v>8186.9</v>
      </c>
      <c r="Y140" s="12"/>
      <c r="Z140" s="12"/>
      <c r="AA140" s="12"/>
      <c r="AB140" s="12">
        <v>8186.9</v>
      </c>
      <c r="AC140" s="12">
        <f t="shared" ref="AC140:AC143" si="67">AD140+AE140+AF140+AG140</f>
        <v>8186.9</v>
      </c>
      <c r="AD140" s="12"/>
      <c r="AE140" s="12"/>
      <c r="AF140" s="12"/>
      <c r="AG140" s="12">
        <v>8186.9</v>
      </c>
    </row>
    <row r="141" spans="1:33" ht="35.1" customHeight="1" thickBot="1">
      <c r="A141" s="13"/>
      <c r="B141" s="21"/>
      <c r="C141" s="194"/>
      <c r="D141" s="194"/>
      <c r="E141" s="194"/>
      <c r="F141" s="194" t="s">
        <v>238</v>
      </c>
      <c r="G141" s="194" t="s">
        <v>111</v>
      </c>
      <c r="H141" s="61" t="s">
        <v>661</v>
      </c>
      <c r="I141" s="22" t="s">
        <v>645</v>
      </c>
      <c r="J141" s="194" t="s">
        <v>111</v>
      </c>
      <c r="K141" s="65" t="s">
        <v>662</v>
      </c>
      <c r="L141" s="194"/>
      <c r="M141" s="194" t="s">
        <v>239</v>
      </c>
      <c r="N141" s="12">
        <f t="shared" si="64"/>
        <v>178</v>
      </c>
      <c r="O141" s="12"/>
      <c r="P141" s="12"/>
      <c r="Q141" s="12"/>
      <c r="R141" s="12">
        <v>178</v>
      </c>
      <c r="S141" s="12">
        <f t="shared" si="65"/>
        <v>0</v>
      </c>
      <c r="T141" s="12"/>
      <c r="U141" s="12"/>
      <c r="V141" s="12"/>
      <c r="W141" s="12">
        <v>0</v>
      </c>
      <c r="X141" s="12">
        <f t="shared" si="66"/>
        <v>0</v>
      </c>
      <c r="Y141" s="12"/>
      <c r="Z141" s="12"/>
      <c r="AA141" s="12"/>
      <c r="AB141" s="12">
        <v>0</v>
      </c>
      <c r="AC141" s="12">
        <f t="shared" si="67"/>
        <v>0</v>
      </c>
      <c r="AD141" s="12"/>
      <c r="AE141" s="12"/>
      <c r="AF141" s="12"/>
      <c r="AG141" s="12">
        <v>0</v>
      </c>
    </row>
    <row r="142" spans="1:33" ht="35.1" customHeight="1" thickBot="1">
      <c r="A142" s="13"/>
      <c r="B142" s="21"/>
      <c r="C142" s="194"/>
      <c r="D142" s="194"/>
      <c r="E142" s="194"/>
      <c r="F142" s="209"/>
      <c r="G142" s="209"/>
      <c r="H142" s="209"/>
      <c r="I142" s="194" t="s">
        <v>241</v>
      </c>
      <c r="J142" s="194" t="s">
        <v>111</v>
      </c>
      <c r="K142" s="7" t="s">
        <v>664</v>
      </c>
      <c r="L142" s="194"/>
      <c r="M142" s="23" t="s">
        <v>242</v>
      </c>
      <c r="N142" s="12">
        <f t="shared" si="64"/>
        <v>946.90000000000009</v>
      </c>
      <c r="O142" s="12"/>
      <c r="P142" s="12">
        <v>86.7</v>
      </c>
      <c r="Q142" s="12"/>
      <c r="R142" s="12">
        <f>859.6+0.6</f>
        <v>860.2</v>
      </c>
      <c r="S142" s="12">
        <f t="shared" si="65"/>
        <v>859.6</v>
      </c>
      <c r="T142" s="12"/>
      <c r="U142" s="12"/>
      <c r="V142" s="12"/>
      <c r="W142" s="12">
        <v>859.6</v>
      </c>
      <c r="X142" s="12">
        <f t="shared" si="66"/>
        <v>859.6</v>
      </c>
      <c r="Y142" s="12"/>
      <c r="Z142" s="12"/>
      <c r="AA142" s="12"/>
      <c r="AB142" s="12">
        <v>859.6</v>
      </c>
      <c r="AC142" s="12">
        <f t="shared" si="67"/>
        <v>859.6</v>
      </c>
      <c r="AD142" s="12"/>
      <c r="AE142" s="12"/>
      <c r="AF142" s="12"/>
      <c r="AG142" s="12">
        <v>859.6</v>
      </c>
    </row>
    <row r="143" spans="1:33" ht="35.1" customHeight="1" thickBot="1">
      <c r="A143" s="13"/>
      <c r="B143" s="21"/>
      <c r="C143" s="194"/>
      <c r="D143" s="194"/>
      <c r="E143" s="194"/>
      <c r="F143" s="25"/>
      <c r="G143" s="194"/>
      <c r="H143" s="194"/>
      <c r="I143" s="194"/>
      <c r="J143" s="194"/>
      <c r="K143" s="7"/>
      <c r="L143" s="194"/>
      <c r="M143" s="23" t="s">
        <v>243</v>
      </c>
      <c r="N143" s="12">
        <f t="shared" si="64"/>
        <v>3818.2</v>
      </c>
      <c r="O143" s="12"/>
      <c r="P143" s="12"/>
      <c r="Q143" s="12"/>
      <c r="R143" s="12">
        <f>3815+3.2</f>
        <v>3818.2</v>
      </c>
      <c r="S143" s="12">
        <f t="shared" si="65"/>
        <v>3815</v>
      </c>
      <c r="T143" s="12"/>
      <c r="U143" s="12"/>
      <c r="V143" s="12"/>
      <c r="W143" s="12">
        <v>3815</v>
      </c>
      <c r="X143" s="12">
        <f t="shared" si="66"/>
        <v>3815</v>
      </c>
      <c r="Y143" s="12"/>
      <c r="Z143" s="12"/>
      <c r="AA143" s="12"/>
      <c r="AB143" s="12">
        <v>3815</v>
      </c>
      <c r="AC143" s="12">
        <f t="shared" si="67"/>
        <v>3815</v>
      </c>
      <c r="AD143" s="12"/>
      <c r="AE143" s="12"/>
      <c r="AF143" s="12"/>
      <c r="AG143" s="12">
        <v>3815</v>
      </c>
    </row>
    <row r="144" spans="1:33" ht="35.1" customHeight="1" thickBot="1">
      <c r="A144" s="13"/>
      <c r="B144" s="21"/>
      <c r="C144" s="194"/>
      <c r="D144" s="194"/>
      <c r="E144" s="194"/>
      <c r="F144" s="25"/>
      <c r="G144" s="194"/>
      <c r="H144" s="194"/>
      <c r="I144" s="194"/>
      <c r="J144" s="194"/>
      <c r="K144" s="7"/>
      <c r="L144" s="194"/>
      <c r="M144" s="23" t="s">
        <v>244</v>
      </c>
      <c r="N144" s="12">
        <f>O144+P144+Q144+R144</f>
        <v>44886.499999999993</v>
      </c>
      <c r="O144" s="12"/>
      <c r="P144" s="12">
        <v>4135.2</v>
      </c>
      <c r="Q144" s="12"/>
      <c r="R144" s="12">
        <f>40781.2-29.9</f>
        <v>40751.299999999996</v>
      </c>
      <c r="S144" s="12">
        <f>T144+U144+V144+W144</f>
        <v>40781.199999999997</v>
      </c>
      <c r="T144" s="12"/>
      <c r="U144" s="12"/>
      <c r="V144" s="12"/>
      <c r="W144" s="12">
        <v>40781.199999999997</v>
      </c>
      <c r="X144" s="12">
        <f t="shared" si="66"/>
        <v>40781.199999999997</v>
      </c>
      <c r="Y144" s="12"/>
      <c r="Z144" s="12"/>
      <c r="AA144" s="12"/>
      <c r="AB144" s="12">
        <v>40781.199999999997</v>
      </c>
      <c r="AC144" s="12">
        <f>AD144+AE144+AF144+AG144</f>
        <v>40781.199999999997</v>
      </c>
      <c r="AD144" s="12"/>
      <c r="AE144" s="12"/>
      <c r="AF144" s="12"/>
      <c r="AG144" s="12">
        <v>40781.199999999997</v>
      </c>
    </row>
    <row r="145" spans="1:33" ht="35.1" customHeight="1" thickBot="1">
      <c r="A145" s="13"/>
      <c r="B145" s="21"/>
      <c r="C145" s="194"/>
      <c r="D145" s="194"/>
      <c r="E145" s="194"/>
      <c r="F145" s="25"/>
      <c r="G145" s="194"/>
      <c r="H145" s="194"/>
      <c r="I145" s="194"/>
      <c r="J145" s="194"/>
      <c r="K145" s="7"/>
      <c r="L145" s="194"/>
      <c r="M145" s="23" t="s">
        <v>245</v>
      </c>
      <c r="N145" s="12">
        <f>O145+P145+Q145+R145</f>
        <v>650</v>
      </c>
      <c r="O145" s="12"/>
      <c r="P145" s="12"/>
      <c r="Q145" s="12"/>
      <c r="R145" s="12">
        <v>650</v>
      </c>
      <c r="S145" s="12">
        <v>0</v>
      </c>
      <c r="T145" s="12"/>
      <c r="U145" s="12"/>
      <c r="V145" s="12"/>
      <c r="W145" s="12">
        <v>0</v>
      </c>
      <c r="X145" s="12">
        <v>0</v>
      </c>
      <c r="Y145" s="12"/>
      <c r="Z145" s="12"/>
      <c r="AA145" s="12"/>
      <c r="AB145" s="12">
        <v>0</v>
      </c>
      <c r="AC145" s="12">
        <v>0</v>
      </c>
      <c r="AD145" s="12"/>
      <c r="AE145" s="12"/>
      <c r="AF145" s="12"/>
      <c r="AG145" s="12">
        <v>0</v>
      </c>
    </row>
    <row r="146" spans="1:33" ht="35.1" customHeight="1">
      <c r="A146" s="14"/>
      <c r="B146" s="36"/>
      <c r="C146" s="189"/>
      <c r="D146" s="189"/>
      <c r="E146" s="189"/>
      <c r="F146" s="194" t="s">
        <v>246</v>
      </c>
      <c r="G146" s="194" t="s">
        <v>111</v>
      </c>
      <c r="H146" s="66" t="s">
        <v>665</v>
      </c>
      <c r="I146" s="194" t="s">
        <v>838</v>
      </c>
      <c r="J146" s="206"/>
      <c r="K146" s="7"/>
      <c r="L146" s="194"/>
      <c r="M146" s="23" t="s">
        <v>247</v>
      </c>
      <c r="N146" s="12">
        <f t="shared" ref="N146:N150" si="68">O146+P146+Q146+R146</f>
        <v>2380</v>
      </c>
      <c r="O146" s="12"/>
      <c r="P146" s="12"/>
      <c r="Q146" s="12"/>
      <c r="R146" s="12">
        <v>2380</v>
      </c>
      <c r="S146" s="12">
        <v>0</v>
      </c>
      <c r="T146" s="12"/>
      <c r="U146" s="12"/>
      <c r="V146" s="12"/>
      <c r="W146" s="12">
        <v>0</v>
      </c>
      <c r="X146" s="12">
        <v>0</v>
      </c>
      <c r="Y146" s="12"/>
      <c r="Z146" s="12"/>
      <c r="AA146" s="12"/>
      <c r="AB146" s="12">
        <v>0</v>
      </c>
      <c r="AC146" s="12">
        <v>0</v>
      </c>
      <c r="AD146" s="12"/>
      <c r="AE146" s="12"/>
      <c r="AF146" s="12"/>
      <c r="AG146" s="12">
        <v>0</v>
      </c>
    </row>
    <row r="147" spans="1:33" ht="35.1" customHeight="1">
      <c r="A147" s="35"/>
      <c r="B147" s="24"/>
      <c r="C147" s="209"/>
      <c r="D147" s="209"/>
      <c r="E147" s="209"/>
      <c r="F147" s="194" t="s">
        <v>666</v>
      </c>
      <c r="G147" s="194" t="s">
        <v>111</v>
      </c>
      <c r="H147" s="59" t="s">
        <v>667</v>
      </c>
      <c r="I147" s="55" t="s">
        <v>866</v>
      </c>
      <c r="J147" s="194" t="s">
        <v>71</v>
      </c>
      <c r="K147" s="55" t="s">
        <v>867</v>
      </c>
      <c r="L147" s="194"/>
      <c r="M147" s="23" t="s">
        <v>248</v>
      </c>
      <c r="N147" s="12">
        <f t="shared" si="68"/>
        <v>1576.8</v>
      </c>
      <c r="O147" s="12"/>
      <c r="P147" s="12">
        <v>1576.8</v>
      </c>
      <c r="Q147" s="12"/>
      <c r="R147" s="12"/>
      <c r="S147" s="12">
        <v>0</v>
      </c>
      <c r="T147" s="12"/>
      <c r="U147" s="12"/>
      <c r="V147" s="12"/>
      <c r="W147" s="12">
        <v>0</v>
      </c>
      <c r="X147" s="12">
        <v>0</v>
      </c>
      <c r="Y147" s="12"/>
      <c r="Z147" s="12"/>
      <c r="AA147" s="12"/>
      <c r="AB147" s="12">
        <v>0</v>
      </c>
      <c r="AC147" s="12">
        <v>0</v>
      </c>
      <c r="AD147" s="12"/>
      <c r="AE147" s="12"/>
      <c r="AF147" s="12"/>
      <c r="AG147" s="12">
        <v>0</v>
      </c>
    </row>
    <row r="148" spans="1:33" ht="35.1" customHeight="1" thickBot="1">
      <c r="A148" s="13"/>
      <c r="B148" s="21"/>
      <c r="C148" s="191"/>
      <c r="D148" s="191"/>
      <c r="E148" s="191"/>
      <c r="F148" s="25"/>
      <c r="G148" s="194"/>
      <c r="H148" s="194"/>
      <c r="I148" s="194"/>
      <c r="J148" s="194"/>
      <c r="K148" s="7"/>
      <c r="L148" s="194"/>
      <c r="M148" s="23" t="s">
        <v>249</v>
      </c>
      <c r="N148" s="12">
        <f t="shared" si="68"/>
        <v>22476.999999999996</v>
      </c>
      <c r="O148" s="12"/>
      <c r="P148" s="12">
        <v>2342.1</v>
      </c>
      <c r="Q148" s="12"/>
      <c r="R148" s="12">
        <f>19036.8+1098.1</f>
        <v>20134.899999999998</v>
      </c>
      <c r="S148" s="12">
        <f t="shared" ref="S148:S150" si="69">T148+U148+V148+W148</f>
        <v>19036.8</v>
      </c>
      <c r="T148" s="12"/>
      <c r="U148" s="12"/>
      <c r="V148" s="12"/>
      <c r="W148" s="12">
        <v>19036.8</v>
      </c>
      <c r="X148" s="12">
        <f t="shared" ref="X148:X150" si="70">Y148+Z148+AA148+AB148</f>
        <v>19036.8</v>
      </c>
      <c r="Y148" s="12"/>
      <c r="Z148" s="12"/>
      <c r="AA148" s="12"/>
      <c r="AB148" s="12">
        <v>19036.8</v>
      </c>
      <c r="AC148" s="12">
        <f t="shared" ref="AC148:AC150" si="71">AD148+AE148+AF148+AG148</f>
        <v>19036.8</v>
      </c>
      <c r="AD148" s="12"/>
      <c r="AE148" s="12"/>
      <c r="AF148" s="12"/>
      <c r="AG148" s="12">
        <v>19036.8</v>
      </c>
    </row>
    <row r="149" spans="1:33" ht="35.1" customHeight="1" thickBot="1">
      <c r="A149" s="13"/>
      <c r="B149" s="21"/>
      <c r="C149" s="194"/>
      <c r="D149" s="194"/>
      <c r="E149" s="194"/>
      <c r="F149" s="25"/>
      <c r="G149" s="194"/>
      <c r="H149" s="194"/>
      <c r="I149" s="169" t="s">
        <v>663</v>
      </c>
      <c r="J149" s="194" t="s">
        <v>111</v>
      </c>
      <c r="K149" s="169" t="s">
        <v>240</v>
      </c>
      <c r="L149" s="194"/>
      <c r="M149" s="23" t="s">
        <v>250</v>
      </c>
      <c r="N149" s="12">
        <f t="shared" si="68"/>
        <v>607.79999999999995</v>
      </c>
      <c r="O149" s="12"/>
      <c r="P149" s="12"/>
      <c r="Q149" s="12"/>
      <c r="R149" s="12">
        <f>255.6+352.2</f>
        <v>607.79999999999995</v>
      </c>
      <c r="S149" s="12">
        <f t="shared" si="69"/>
        <v>255.6</v>
      </c>
      <c r="T149" s="12"/>
      <c r="U149" s="12"/>
      <c r="V149" s="12"/>
      <c r="W149" s="12">
        <v>255.6</v>
      </c>
      <c r="X149" s="12">
        <f t="shared" si="70"/>
        <v>255.6</v>
      </c>
      <c r="Y149" s="12"/>
      <c r="Z149" s="12"/>
      <c r="AA149" s="12"/>
      <c r="AB149" s="12">
        <v>255.6</v>
      </c>
      <c r="AC149" s="12">
        <f t="shared" si="71"/>
        <v>255.6</v>
      </c>
      <c r="AD149" s="12"/>
      <c r="AE149" s="12"/>
      <c r="AF149" s="12"/>
      <c r="AG149" s="12">
        <v>255.6</v>
      </c>
    </row>
    <row r="150" spans="1:33" ht="35.1" customHeight="1" thickBot="1">
      <c r="A150" s="13"/>
      <c r="B150" s="21"/>
      <c r="C150" s="194"/>
      <c r="D150" s="194"/>
      <c r="E150" s="194"/>
      <c r="F150" s="25"/>
      <c r="G150" s="194"/>
      <c r="H150" s="194"/>
      <c r="I150" s="194"/>
      <c r="J150" s="194"/>
      <c r="K150" s="7"/>
      <c r="L150" s="194"/>
      <c r="M150" s="23" t="s">
        <v>251</v>
      </c>
      <c r="N150" s="12">
        <f t="shared" si="68"/>
        <v>3371.6</v>
      </c>
      <c r="O150" s="12"/>
      <c r="P150" s="12"/>
      <c r="Q150" s="12"/>
      <c r="R150" s="12">
        <f>3364.6+6.9+0.1</f>
        <v>3371.6</v>
      </c>
      <c r="S150" s="12">
        <f t="shared" si="69"/>
        <v>3364.6</v>
      </c>
      <c r="T150" s="12"/>
      <c r="U150" s="12"/>
      <c r="V150" s="12"/>
      <c r="W150" s="12">
        <v>3364.6</v>
      </c>
      <c r="X150" s="12">
        <f t="shared" si="70"/>
        <v>3364.6</v>
      </c>
      <c r="Y150" s="12"/>
      <c r="Z150" s="12"/>
      <c r="AA150" s="12"/>
      <c r="AB150" s="12">
        <v>3364.6</v>
      </c>
      <c r="AC150" s="12">
        <f t="shared" si="71"/>
        <v>3364.6</v>
      </c>
      <c r="AD150" s="12"/>
      <c r="AE150" s="12"/>
      <c r="AF150" s="12"/>
      <c r="AG150" s="12">
        <v>3364.6</v>
      </c>
    </row>
    <row r="151" spans="1:33" ht="35.1" customHeight="1" thickBot="1">
      <c r="A151" s="13"/>
      <c r="B151" s="21"/>
      <c r="C151" s="194"/>
      <c r="D151" s="194"/>
      <c r="E151" s="194"/>
      <c r="F151" s="61" t="s">
        <v>668</v>
      </c>
      <c r="G151" s="194" t="s">
        <v>111</v>
      </c>
      <c r="H151" s="59" t="s">
        <v>669</v>
      </c>
      <c r="I151" s="194" t="s">
        <v>838</v>
      </c>
      <c r="J151" s="206"/>
      <c r="K151" s="7"/>
      <c r="L151" s="15"/>
      <c r="M151" s="23" t="s">
        <v>252</v>
      </c>
      <c r="N151" s="12">
        <f>O151+P151+Q151+R151</f>
        <v>3536</v>
      </c>
      <c r="O151" s="12"/>
      <c r="P151" s="12">
        <v>3500</v>
      </c>
      <c r="Q151" s="12"/>
      <c r="R151" s="12">
        <v>36</v>
      </c>
      <c r="S151" s="12">
        <f>T151+U151+V151+W151</f>
        <v>0</v>
      </c>
      <c r="T151" s="12"/>
      <c r="U151" s="12"/>
      <c r="V151" s="12"/>
      <c r="W151" s="12">
        <v>0</v>
      </c>
      <c r="X151" s="12">
        <v>0</v>
      </c>
      <c r="Y151" s="12"/>
      <c r="Z151" s="12"/>
      <c r="AA151" s="12"/>
      <c r="AB151" s="12">
        <v>0</v>
      </c>
      <c r="AC151" s="12">
        <v>0</v>
      </c>
      <c r="AD151" s="12"/>
      <c r="AE151" s="12"/>
      <c r="AF151" s="12"/>
      <c r="AG151" s="12">
        <v>0</v>
      </c>
    </row>
    <row r="152" spans="1:33" ht="35.1" customHeight="1" thickBot="1">
      <c r="A152" s="13"/>
      <c r="B152" s="21"/>
      <c r="C152" s="67"/>
      <c r="D152" s="68"/>
      <c r="E152" s="67"/>
      <c r="F152" s="69"/>
      <c r="G152" s="67"/>
      <c r="H152" s="70"/>
      <c r="I152" s="194" t="s">
        <v>838</v>
      </c>
      <c r="J152" s="209"/>
      <c r="K152" s="209"/>
      <c r="L152" s="15"/>
      <c r="M152" s="23" t="s">
        <v>253</v>
      </c>
      <c r="N152" s="12">
        <f>O152+P152+Q152+R152</f>
        <v>959.8</v>
      </c>
      <c r="O152" s="12"/>
      <c r="P152" s="12">
        <v>959.8</v>
      </c>
      <c r="Q152" s="12"/>
      <c r="R152" s="12"/>
      <c r="S152" s="12">
        <v>0</v>
      </c>
      <c r="T152" s="12"/>
      <c r="U152" s="12"/>
      <c r="V152" s="12"/>
      <c r="W152" s="12">
        <v>0</v>
      </c>
      <c r="X152" s="12">
        <v>0</v>
      </c>
      <c r="Y152" s="12"/>
      <c r="Z152" s="12"/>
      <c r="AA152" s="12"/>
      <c r="AB152" s="12">
        <v>0</v>
      </c>
      <c r="AC152" s="12">
        <v>0</v>
      </c>
      <c r="AD152" s="12"/>
      <c r="AE152" s="12"/>
      <c r="AF152" s="12"/>
      <c r="AG152" s="12">
        <v>0</v>
      </c>
    </row>
    <row r="153" spans="1:33" ht="35.1" customHeight="1" thickBot="1">
      <c r="A153" s="16" t="s">
        <v>254</v>
      </c>
      <c r="B153" s="56">
        <v>2535</v>
      </c>
      <c r="C153" s="18"/>
      <c r="D153" s="19"/>
      <c r="E153" s="19"/>
      <c r="F153" s="19"/>
      <c r="G153" s="19"/>
      <c r="H153" s="19"/>
      <c r="I153" s="19"/>
      <c r="J153" s="19"/>
      <c r="K153" s="19"/>
      <c r="L153" s="19">
        <v>11</v>
      </c>
      <c r="M153" s="64"/>
      <c r="N153" s="19">
        <f t="shared" ref="N153:AG153" si="72">N154+N155</f>
        <v>1586.7</v>
      </c>
      <c r="O153" s="19">
        <f t="shared" si="72"/>
        <v>0</v>
      </c>
      <c r="P153" s="19">
        <f t="shared" si="72"/>
        <v>0</v>
      </c>
      <c r="Q153" s="19">
        <f t="shared" si="72"/>
        <v>0</v>
      </c>
      <c r="R153" s="19">
        <f t="shared" si="72"/>
        <v>1586.7</v>
      </c>
      <c r="S153" s="19">
        <f t="shared" si="72"/>
        <v>1586.7</v>
      </c>
      <c r="T153" s="19">
        <f t="shared" si="72"/>
        <v>0</v>
      </c>
      <c r="U153" s="19">
        <f t="shared" si="72"/>
        <v>0</v>
      </c>
      <c r="V153" s="19">
        <f t="shared" si="72"/>
        <v>0</v>
      </c>
      <c r="W153" s="19">
        <f t="shared" si="72"/>
        <v>1586.7</v>
      </c>
      <c r="X153" s="19">
        <f t="shared" si="72"/>
        <v>1586.7</v>
      </c>
      <c r="Y153" s="19">
        <f t="shared" si="72"/>
        <v>0</v>
      </c>
      <c r="Z153" s="19">
        <f t="shared" si="72"/>
        <v>0</v>
      </c>
      <c r="AA153" s="19">
        <f t="shared" si="72"/>
        <v>0</v>
      </c>
      <c r="AB153" s="19">
        <f t="shared" si="72"/>
        <v>1586.7</v>
      </c>
      <c r="AC153" s="19">
        <f t="shared" si="72"/>
        <v>1586.7</v>
      </c>
      <c r="AD153" s="19">
        <f t="shared" si="72"/>
        <v>0</v>
      </c>
      <c r="AE153" s="19">
        <f t="shared" si="72"/>
        <v>0</v>
      </c>
      <c r="AF153" s="19">
        <f t="shared" si="72"/>
        <v>0</v>
      </c>
      <c r="AG153" s="19">
        <f t="shared" si="72"/>
        <v>1586.7</v>
      </c>
    </row>
    <row r="154" spans="1:33" ht="35.1" customHeight="1" thickBot="1">
      <c r="A154" s="13"/>
      <c r="B154" s="21"/>
      <c r="C154" s="194" t="s">
        <v>233</v>
      </c>
      <c r="D154" s="194" t="s">
        <v>255</v>
      </c>
      <c r="E154" s="194" t="s">
        <v>256</v>
      </c>
      <c r="F154" s="194" t="s">
        <v>257</v>
      </c>
      <c r="G154" s="194" t="s">
        <v>111</v>
      </c>
      <c r="H154" s="194" t="s">
        <v>112</v>
      </c>
      <c r="I154" s="22"/>
      <c r="J154" s="194"/>
      <c r="K154" s="166"/>
      <c r="L154" s="12"/>
      <c r="M154" s="23" t="s">
        <v>258</v>
      </c>
      <c r="N154" s="12">
        <f>O154+P154+Q154+R154</f>
        <v>0</v>
      </c>
      <c r="O154" s="12"/>
      <c r="P154" s="12"/>
      <c r="Q154" s="12"/>
      <c r="R154" s="12">
        <v>0</v>
      </c>
      <c r="S154" s="12">
        <f>T154+U154+V154+W154</f>
        <v>0</v>
      </c>
      <c r="T154" s="12"/>
      <c r="U154" s="12"/>
      <c r="V154" s="12"/>
      <c r="W154" s="12">
        <v>0</v>
      </c>
      <c r="X154" s="12">
        <f>Y154+Z154+AA154+AB154</f>
        <v>0</v>
      </c>
      <c r="Y154" s="12"/>
      <c r="Z154" s="12"/>
      <c r="AA154" s="12"/>
      <c r="AB154" s="12">
        <v>0</v>
      </c>
      <c r="AC154" s="12">
        <f>AD154+AE154+AF154+AG154</f>
        <v>0</v>
      </c>
      <c r="AD154" s="12"/>
      <c r="AE154" s="12"/>
      <c r="AF154" s="12"/>
      <c r="AG154" s="12">
        <v>0</v>
      </c>
    </row>
    <row r="155" spans="1:33" ht="35.1" customHeight="1" thickBot="1">
      <c r="A155" s="13"/>
      <c r="B155" s="21"/>
      <c r="C155" s="22" t="s">
        <v>259</v>
      </c>
      <c r="D155" s="22" t="s">
        <v>191</v>
      </c>
      <c r="E155" s="22" t="s">
        <v>260</v>
      </c>
      <c r="F155" s="194"/>
      <c r="G155" s="194"/>
      <c r="H155" s="194"/>
      <c r="I155" s="22" t="s">
        <v>645</v>
      </c>
      <c r="J155" s="194" t="s">
        <v>111</v>
      </c>
      <c r="K155" s="166" t="s">
        <v>662</v>
      </c>
      <c r="L155" s="12"/>
      <c r="M155" s="23" t="s">
        <v>261</v>
      </c>
      <c r="N155" s="12">
        <f>O155+P155+Q155+R155</f>
        <v>1586.7</v>
      </c>
      <c r="O155" s="12"/>
      <c r="P155" s="12"/>
      <c r="Q155" s="12"/>
      <c r="R155" s="12">
        <v>1586.7</v>
      </c>
      <c r="S155" s="12">
        <f>T155+U155+V155+W155</f>
        <v>1586.7</v>
      </c>
      <c r="T155" s="12"/>
      <c r="U155" s="12"/>
      <c r="V155" s="12"/>
      <c r="W155" s="12">
        <v>1586.7</v>
      </c>
      <c r="X155" s="12">
        <f>Y155+Z155+AA155+AB155</f>
        <v>1586.7</v>
      </c>
      <c r="Y155" s="12"/>
      <c r="Z155" s="12"/>
      <c r="AA155" s="12"/>
      <c r="AB155" s="12">
        <v>1586.7</v>
      </c>
      <c r="AC155" s="12">
        <f>AD155+AE155+AF155+AG155</f>
        <v>1586.7</v>
      </c>
      <c r="AD155" s="12"/>
      <c r="AE155" s="12"/>
      <c r="AF155" s="12"/>
      <c r="AG155" s="12">
        <v>1586.7</v>
      </c>
    </row>
    <row r="156" spans="1:33" ht="35.1" customHeight="1" thickBot="1">
      <c r="A156" s="16" t="s">
        <v>262</v>
      </c>
      <c r="B156" s="56">
        <v>2536</v>
      </c>
      <c r="C156" s="18"/>
      <c r="D156" s="19"/>
      <c r="E156" s="19"/>
      <c r="F156" s="19"/>
      <c r="G156" s="19"/>
      <c r="H156" s="19"/>
      <c r="I156" s="19"/>
      <c r="J156" s="19"/>
      <c r="K156" s="19"/>
      <c r="L156" s="19">
        <v>21</v>
      </c>
      <c r="M156" s="64"/>
      <c r="N156" s="19">
        <f>N157+N158</f>
        <v>408.1</v>
      </c>
      <c r="O156" s="19">
        <f>O157+O158</f>
        <v>0</v>
      </c>
      <c r="P156" s="19">
        <f>P157+P158</f>
        <v>408.1</v>
      </c>
      <c r="Q156" s="19">
        <f>Q157+Q158</f>
        <v>0</v>
      </c>
      <c r="R156" s="19">
        <f>R157+R158</f>
        <v>0</v>
      </c>
      <c r="S156" s="19">
        <f>T156+U156+V156+W156</f>
        <v>0</v>
      </c>
      <c r="T156" s="19">
        <f>U156+V156+W156+KC780</f>
        <v>0</v>
      </c>
      <c r="U156" s="19">
        <f>V156+W156+KC780+KD780</f>
        <v>0</v>
      </c>
      <c r="V156" s="19">
        <f>W156+KC780+KD780+KE780</f>
        <v>0</v>
      </c>
      <c r="W156" s="19">
        <f>KC780+KD780+KE780+KF780</f>
        <v>0</v>
      </c>
      <c r="X156" s="19">
        <f>Y156+Z156+AA156+AB156</f>
        <v>0</v>
      </c>
      <c r="Y156" s="19">
        <f>Z156+AA156+AB156+FH156</f>
        <v>0</v>
      </c>
      <c r="Z156" s="19">
        <f>AA156+AB156+FH156+FI156</f>
        <v>0</v>
      </c>
      <c r="AA156" s="19">
        <f>AB156+FH156+FI156+FJ156</f>
        <v>0</v>
      </c>
      <c r="AB156" s="19">
        <f>FH156+FI156+FJ156+FK156</f>
        <v>0</v>
      </c>
      <c r="AC156" s="19">
        <f>AD156+AE156+AF156+AG156</f>
        <v>0</v>
      </c>
      <c r="AD156" s="19">
        <f>AE156+AF156+AG156+FM156</f>
        <v>0</v>
      </c>
      <c r="AE156" s="19">
        <f>AF156+AG156+FM156+FN156</f>
        <v>0</v>
      </c>
      <c r="AF156" s="19">
        <f>AG156+FM156+FN156+FO156</f>
        <v>0</v>
      </c>
      <c r="AG156" s="19">
        <f>FM156+FN156+FO156+FP156</f>
        <v>0</v>
      </c>
    </row>
    <row r="157" spans="1:33" ht="35.1" customHeight="1" thickBot="1">
      <c r="A157" s="13"/>
      <c r="B157" s="21"/>
      <c r="C157" s="277" t="s">
        <v>765</v>
      </c>
      <c r="D157" s="277" t="s">
        <v>71</v>
      </c>
      <c r="E157" s="279" t="s">
        <v>766</v>
      </c>
      <c r="F157" s="277" t="s">
        <v>829</v>
      </c>
      <c r="G157" s="277" t="s">
        <v>71</v>
      </c>
      <c r="H157" s="277" t="s">
        <v>830</v>
      </c>
      <c r="I157" s="62" t="s">
        <v>639</v>
      </c>
      <c r="J157" s="39" t="s">
        <v>767</v>
      </c>
      <c r="K157" s="166" t="s">
        <v>640</v>
      </c>
      <c r="L157" s="12"/>
      <c r="M157" s="23" t="s">
        <v>263</v>
      </c>
      <c r="N157" s="12">
        <f>O157+P157+Q157+R157</f>
        <v>0</v>
      </c>
      <c r="O157" s="12"/>
      <c r="P157" s="12">
        <v>0</v>
      </c>
      <c r="Q157" s="12"/>
      <c r="R157" s="12"/>
      <c r="S157" s="12">
        <f>T157+U157+V157+W157</f>
        <v>0</v>
      </c>
      <c r="T157" s="12"/>
      <c r="U157" s="12">
        <v>0</v>
      </c>
      <c r="V157" s="12"/>
      <c r="W157" s="12"/>
      <c r="X157" s="12">
        <f>Y157+Z157+AA157+AB157</f>
        <v>0</v>
      </c>
      <c r="Y157" s="12"/>
      <c r="Z157" s="12">
        <v>0</v>
      </c>
      <c r="AA157" s="12"/>
      <c r="AB157" s="12"/>
      <c r="AC157" s="12">
        <f>AD157+AE157+AF157+AG157</f>
        <v>0</v>
      </c>
      <c r="AD157" s="12"/>
      <c r="AE157" s="12">
        <v>0</v>
      </c>
      <c r="AF157" s="12"/>
      <c r="AG157" s="12"/>
    </row>
    <row r="158" spans="1:33" ht="35.1" customHeight="1" thickBot="1">
      <c r="A158" s="13"/>
      <c r="B158" s="21"/>
      <c r="C158" s="278"/>
      <c r="D158" s="278"/>
      <c r="E158" s="280"/>
      <c r="F158" s="281"/>
      <c r="G158" s="281"/>
      <c r="H158" s="281"/>
      <c r="I158" s="145"/>
      <c r="J158" s="12"/>
      <c r="K158" s="12"/>
      <c r="L158" s="12"/>
      <c r="M158" s="23" t="s">
        <v>264</v>
      </c>
      <c r="N158" s="12">
        <f>O158+P158+Q158+R158</f>
        <v>408.1</v>
      </c>
      <c r="O158" s="12"/>
      <c r="P158" s="12">
        <v>408.1</v>
      </c>
      <c r="Q158" s="12"/>
      <c r="R158" s="12"/>
      <c r="S158" s="12">
        <f>T158+U158+V158+W158</f>
        <v>0</v>
      </c>
      <c r="T158" s="12"/>
      <c r="U158" s="12">
        <v>0</v>
      </c>
      <c r="V158" s="12"/>
      <c r="W158" s="12"/>
      <c r="X158" s="12">
        <f>Y158+Z158+AA158+AB158</f>
        <v>0</v>
      </c>
      <c r="Y158" s="12"/>
      <c r="Z158" s="12">
        <v>0</v>
      </c>
      <c r="AA158" s="12"/>
      <c r="AB158" s="12"/>
      <c r="AC158" s="12">
        <f>AD158+AE158+AF158+AG158</f>
        <v>0</v>
      </c>
      <c r="AD158" s="12"/>
      <c r="AE158" s="12">
        <v>0</v>
      </c>
      <c r="AF158" s="12"/>
      <c r="AG158" s="12"/>
    </row>
    <row r="159" spans="1:33" ht="35.1" customHeight="1" thickBot="1">
      <c r="A159" s="16" t="s">
        <v>265</v>
      </c>
      <c r="B159" s="56">
        <v>2538</v>
      </c>
      <c r="C159" s="18"/>
      <c r="D159" s="19"/>
      <c r="E159" s="19"/>
      <c r="F159" s="19"/>
      <c r="G159" s="19"/>
      <c r="H159" s="19"/>
      <c r="I159" s="19"/>
      <c r="J159" s="19"/>
      <c r="K159" s="19"/>
      <c r="L159" s="19">
        <v>21</v>
      </c>
      <c r="M159" s="64"/>
      <c r="N159" s="19">
        <f t="shared" ref="N159:AG159" si="73">N161</f>
        <v>5400</v>
      </c>
      <c r="O159" s="19">
        <f t="shared" si="73"/>
        <v>0</v>
      </c>
      <c r="P159" s="19">
        <f t="shared" si="73"/>
        <v>0</v>
      </c>
      <c r="Q159" s="19">
        <f t="shared" si="73"/>
        <v>0</v>
      </c>
      <c r="R159" s="19">
        <f t="shared" si="73"/>
        <v>5400</v>
      </c>
      <c r="S159" s="19">
        <f t="shared" si="73"/>
        <v>2800</v>
      </c>
      <c r="T159" s="19">
        <f t="shared" si="73"/>
        <v>0</v>
      </c>
      <c r="U159" s="19">
        <f t="shared" si="73"/>
        <v>0</v>
      </c>
      <c r="V159" s="19">
        <f t="shared" si="73"/>
        <v>0</v>
      </c>
      <c r="W159" s="19">
        <f t="shared" si="73"/>
        <v>2800</v>
      </c>
      <c r="X159" s="19">
        <f t="shared" si="73"/>
        <v>2800</v>
      </c>
      <c r="Y159" s="19">
        <f t="shared" si="73"/>
        <v>0</v>
      </c>
      <c r="Z159" s="19">
        <f t="shared" si="73"/>
        <v>0</v>
      </c>
      <c r="AA159" s="19">
        <f t="shared" si="73"/>
        <v>0</v>
      </c>
      <c r="AB159" s="19">
        <f t="shared" si="73"/>
        <v>2800</v>
      </c>
      <c r="AC159" s="19">
        <f t="shared" si="73"/>
        <v>2800</v>
      </c>
      <c r="AD159" s="19">
        <f t="shared" si="73"/>
        <v>0</v>
      </c>
      <c r="AE159" s="19">
        <f t="shared" si="73"/>
        <v>0</v>
      </c>
      <c r="AF159" s="19">
        <f t="shared" si="73"/>
        <v>0</v>
      </c>
      <c r="AG159" s="19">
        <f t="shared" si="73"/>
        <v>2800</v>
      </c>
    </row>
    <row r="160" spans="1:33" ht="35.1" customHeight="1" thickBot="1">
      <c r="A160" s="13"/>
      <c r="B160" s="56"/>
      <c r="C160" s="22" t="s">
        <v>266</v>
      </c>
      <c r="D160" s="22" t="s">
        <v>267</v>
      </c>
      <c r="E160" s="22" t="s">
        <v>268</v>
      </c>
      <c r="F160" s="193" t="s">
        <v>269</v>
      </c>
      <c r="G160" s="193" t="s">
        <v>27</v>
      </c>
      <c r="H160" s="193" t="s">
        <v>270</v>
      </c>
      <c r="I160" s="62" t="s">
        <v>639</v>
      </c>
      <c r="J160" s="183" t="s">
        <v>768</v>
      </c>
      <c r="K160" s="166" t="s">
        <v>640</v>
      </c>
      <c r="L160" s="19"/>
      <c r="M160" s="64"/>
      <c r="N160" s="19"/>
      <c r="O160" s="19"/>
      <c r="P160" s="19"/>
      <c r="Q160" s="19"/>
      <c r="R160" s="19"/>
      <c r="S160" s="19"/>
      <c r="T160" s="19"/>
      <c r="U160" s="19"/>
      <c r="V160" s="19"/>
      <c r="W160" s="19"/>
      <c r="X160" s="19"/>
      <c r="Y160" s="19"/>
      <c r="Z160" s="19"/>
      <c r="AA160" s="19"/>
      <c r="AB160" s="19"/>
      <c r="AC160" s="19"/>
      <c r="AD160" s="19"/>
      <c r="AE160" s="19"/>
      <c r="AF160" s="19"/>
      <c r="AG160" s="19"/>
    </row>
    <row r="161" spans="1:33" ht="35.1" customHeight="1" thickBot="1">
      <c r="A161" s="13"/>
      <c r="B161" s="21"/>
      <c r="C161" s="22" t="s">
        <v>76</v>
      </c>
      <c r="D161" s="22" t="s">
        <v>271</v>
      </c>
      <c r="E161" s="44" t="s">
        <v>107</v>
      </c>
      <c r="F161" s="209"/>
      <c r="G161" s="209"/>
      <c r="H161" s="209"/>
      <c r="I161" s="25"/>
      <c r="J161" s="12"/>
      <c r="K161" s="37"/>
      <c r="L161" s="12"/>
      <c r="M161" s="23" t="s">
        <v>272</v>
      </c>
      <c r="N161" s="12">
        <f>O161+P161++Q161+R161</f>
        <v>5400</v>
      </c>
      <c r="O161" s="12"/>
      <c r="P161" s="12"/>
      <c r="Q161" s="12"/>
      <c r="R161" s="12">
        <f>2800+2600</f>
        <v>5400</v>
      </c>
      <c r="S161" s="12">
        <f>T161+U161++V161+W161</f>
        <v>2800</v>
      </c>
      <c r="T161" s="12"/>
      <c r="U161" s="12"/>
      <c r="V161" s="12"/>
      <c r="W161" s="12">
        <v>2800</v>
      </c>
      <c r="X161" s="12">
        <f>Y161+Z161+AA161+AB161</f>
        <v>2800</v>
      </c>
      <c r="Y161" s="12"/>
      <c r="Z161" s="12"/>
      <c r="AA161" s="12"/>
      <c r="AB161" s="12">
        <v>2800</v>
      </c>
      <c r="AC161" s="12">
        <f>AD161+AE161+AF161+AG161</f>
        <v>2800</v>
      </c>
      <c r="AD161" s="12"/>
      <c r="AE161" s="12"/>
      <c r="AF161" s="12"/>
      <c r="AG161" s="12">
        <v>2800</v>
      </c>
    </row>
    <row r="162" spans="1:33" ht="35.1" customHeight="1" thickBot="1">
      <c r="A162" s="16" t="s">
        <v>273</v>
      </c>
      <c r="B162" s="17">
        <v>2539</v>
      </c>
      <c r="C162" s="18"/>
      <c r="D162" s="19"/>
      <c r="E162" s="19"/>
      <c r="F162" s="19"/>
      <c r="G162" s="19"/>
      <c r="H162" s="19"/>
      <c r="I162" s="19"/>
      <c r="J162" s="19"/>
      <c r="K162" s="19"/>
      <c r="L162" s="19">
        <v>19</v>
      </c>
      <c r="M162" s="64"/>
      <c r="N162" s="19">
        <f t="shared" ref="N162:AG162" si="74">N163</f>
        <v>3166.9</v>
      </c>
      <c r="O162" s="19">
        <f t="shared" si="74"/>
        <v>0</v>
      </c>
      <c r="P162" s="19">
        <f t="shared" si="74"/>
        <v>0</v>
      </c>
      <c r="Q162" s="19">
        <f t="shared" si="74"/>
        <v>0</v>
      </c>
      <c r="R162" s="19">
        <f t="shared" si="74"/>
        <v>3166.9</v>
      </c>
      <c r="S162" s="19">
        <f t="shared" si="74"/>
        <v>3166.9</v>
      </c>
      <c r="T162" s="19">
        <f t="shared" si="74"/>
        <v>0</v>
      </c>
      <c r="U162" s="19">
        <f t="shared" si="74"/>
        <v>0</v>
      </c>
      <c r="V162" s="19">
        <f t="shared" si="74"/>
        <v>0</v>
      </c>
      <c r="W162" s="19">
        <f t="shared" si="74"/>
        <v>3166.9</v>
      </c>
      <c r="X162" s="19">
        <f t="shared" si="74"/>
        <v>3166.9</v>
      </c>
      <c r="Y162" s="19">
        <f t="shared" si="74"/>
        <v>0</v>
      </c>
      <c r="Z162" s="19">
        <f t="shared" si="74"/>
        <v>0</v>
      </c>
      <c r="AA162" s="19">
        <f t="shared" si="74"/>
        <v>0</v>
      </c>
      <c r="AB162" s="19">
        <f t="shared" si="74"/>
        <v>3166.9</v>
      </c>
      <c r="AC162" s="19">
        <f t="shared" si="74"/>
        <v>3166.9</v>
      </c>
      <c r="AD162" s="19">
        <f t="shared" si="74"/>
        <v>0</v>
      </c>
      <c r="AE162" s="19">
        <f t="shared" si="74"/>
        <v>0</v>
      </c>
      <c r="AF162" s="19">
        <f t="shared" si="74"/>
        <v>0</v>
      </c>
      <c r="AG162" s="19">
        <f t="shared" si="74"/>
        <v>3166.9</v>
      </c>
    </row>
    <row r="163" spans="1:33" ht="35.1" customHeight="1" thickBot="1">
      <c r="A163" s="13"/>
      <c r="B163" s="28"/>
      <c r="C163" s="22" t="s">
        <v>76</v>
      </c>
      <c r="D163" s="22" t="s">
        <v>274</v>
      </c>
      <c r="E163" s="44" t="s">
        <v>107</v>
      </c>
      <c r="F163" s="22" t="s">
        <v>275</v>
      </c>
      <c r="G163" s="22" t="s">
        <v>27</v>
      </c>
      <c r="H163" s="22" t="s">
        <v>276</v>
      </c>
      <c r="I163" s="39" t="s">
        <v>639</v>
      </c>
      <c r="J163" s="39" t="s">
        <v>769</v>
      </c>
      <c r="K163" s="166" t="s">
        <v>640</v>
      </c>
      <c r="L163" s="12"/>
      <c r="M163" s="23" t="s">
        <v>277</v>
      </c>
      <c r="N163" s="12">
        <f>O163+P163++Q163+R163</f>
        <v>3166.9</v>
      </c>
      <c r="O163" s="12"/>
      <c r="P163" s="12"/>
      <c r="Q163" s="12"/>
      <c r="R163" s="12">
        <v>3166.9</v>
      </c>
      <c r="S163" s="12">
        <f>T163+U163++V163+W163</f>
        <v>3166.9</v>
      </c>
      <c r="T163" s="12"/>
      <c r="U163" s="12"/>
      <c r="V163" s="12"/>
      <c r="W163" s="12">
        <v>3166.9</v>
      </c>
      <c r="X163" s="12">
        <f>Y163+Z163+AA163+AB163</f>
        <v>3166.9</v>
      </c>
      <c r="Y163" s="12"/>
      <c r="Z163" s="12"/>
      <c r="AA163" s="12"/>
      <c r="AB163" s="12">
        <v>3166.9</v>
      </c>
      <c r="AC163" s="12">
        <f>AD163+AE163+AF163+AG163</f>
        <v>3166.9</v>
      </c>
      <c r="AD163" s="12"/>
      <c r="AE163" s="12"/>
      <c r="AF163" s="12"/>
      <c r="AG163" s="12">
        <v>3166.9</v>
      </c>
    </row>
    <row r="164" spans="1:33" ht="35.1" customHeight="1" thickBot="1">
      <c r="A164" s="13"/>
      <c r="B164" s="28"/>
      <c r="C164" s="22" t="s">
        <v>278</v>
      </c>
      <c r="D164" s="22" t="s">
        <v>279</v>
      </c>
      <c r="E164" s="22" t="s">
        <v>280</v>
      </c>
      <c r="F164" s="22"/>
      <c r="G164" s="22"/>
      <c r="H164" s="22"/>
      <c r="I164" s="39"/>
      <c r="J164" s="39"/>
      <c r="K164" s="166"/>
      <c r="L164" s="12"/>
      <c r="M164" s="23"/>
      <c r="N164" s="12"/>
      <c r="O164" s="12"/>
      <c r="P164" s="12"/>
      <c r="Q164" s="12"/>
      <c r="R164" s="12"/>
      <c r="S164" s="12"/>
      <c r="T164" s="12"/>
      <c r="U164" s="12"/>
      <c r="V164" s="12"/>
      <c r="W164" s="12"/>
      <c r="X164" s="12"/>
      <c r="Y164" s="12"/>
      <c r="Z164" s="12"/>
      <c r="AA164" s="12"/>
      <c r="AB164" s="12"/>
      <c r="AC164" s="12"/>
      <c r="AD164" s="12"/>
      <c r="AE164" s="12"/>
      <c r="AF164" s="12"/>
      <c r="AG164" s="12"/>
    </row>
    <row r="165" spans="1:33" ht="35.1" customHeight="1" thickBot="1">
      <c r="A165" s="16" t="s">
        <v>281</v>
      </c>
      <c r="B165" s="17">
        <v>2540</v>
      </c>
      <c r="C165" s="18"/>
      <c r="D165" s="19"/>
      <c r="E165" s="19"/>
      <c r="F165" s="19"/>
      <c r="G165" s="19"/>
      <c r="H165" s="19"/>
      <c r="I165" s="19"/>
      <c r="J165" s="19"/>
      <c r="K165" s="19"/>
      <c r="L165" s="19">
        <v>21</v>
      </c>
      <c r="M165" s="64"/>
      <c r="N165" s="19"/>
      <c r="O165" s="19"/>
      <c r="P165" s="19"/>
      <c r="Q165" s="19"/>
      <c r="R165" s="19"/>
      <c r="S165" s="19"/>
      <c r="T165" s="19"/>
      <c r="U165" s="19"/>
      <c r="V165" s="19"/>
      <c r="W165" s="19"/>
      <c r="X165" s="19"/>
      <c r="Y165" s="19"/>
      <c r="Z165" s="19"/>
      <c r="AA165" s="19"/>
      <c r="AB165" s="19"/>
      <c r="AC165" s="19"/>
      <c r="AD165" s="19"/>
      <c r="AE165" s="19"/>
      <c r="AF165" s="19"/>
      <c r="AG165" s="19"/>
    </row>
    <row r="166" spans="1:33" ht="35.1" customHeight="1">
      <c r="A166" s="31" t="s">
        <v>282</v>
      </c>
      <c r="B166" s="32">
        <v>2541</v>
      </c>
      <c r="C166" s="33"/>
      <c r="D166" s="34"/>
      <c r="E166" s="34"/>
      <c r="F166" s="34"/>
      <c r="G166" s="34"/>
      <c r="H166" s="34"/>
      <c r="I166" s="34"/>
      <c r="J166" s="34"/>
      <c r="K166" s="34"/>
      <c r="L166" s="34">
        <v>21</v>
      </c>
      <c r="M166" s="244"/>
      <c r="N166" s="34">
        <f>N171+N174+N175+N173+N176+N172+N177+N167+N168+N169+N170+N178</f>
        <v>67182.800000000017</v>
      </c>
      <c r="O166" s="34">
        <f t="shared" ref="O166:AG166" si="75">O171+O174+O175+O173+O176+O172+O177+O167+O168+O169+O170+O178</f>
        <v>13479.6</v>
      </c>
      <c r="P166" s="34">
        <f t="shared" si="75"/>
        <v>1497.7</v>
      </c>
      <c r="Q166" s="34">
        <f t="shared" si="75"/>
        <v>1300</v>
      </c>
      <c r="R166" s="34">
        <f t="shared" si="75"/>
        <v>50905.5</v>
      </c>
      <c r="S166" s="34">
        <f t="shared" si="75"/>
        <v>35799.199999999997</v>
      </c>
      <c r="T166" s="34">
        <f t="shared" si="75"/>
        <v>9013.1</v>
      </c>
      <c r="U166" s="34">
        <f t="shared" si="75"/>
        <v>1467.3</v>
      </c>
      <c r="V166" s="34">
        <f t="shared" si="75"/>
        <v>1300</v>
      </c>
      <c r="W166" s="34">
        <f t="shared" si="75"/>
        <v>24018.799999999999</v>
      </c>
      <c r="X166" s="34">
        <f t="shared" si="75"/>
        <v>35711.5</v>
      </c>
      <c r="Y166" s="34">
        <f t="shared" si="75"/>
        <v>8690.2999999999993</v>
      </c>
      <c r="Z166" s="34">
        <f t="shared" si="75"/>
        <v>1907.6</v>
      </c>
      <c r="AA166" s="34">
        <f t="shared" si="75"/>
        <v>1300</v>
      </c>
      <c r="AB166" s="34">
        <f t="shared" si="75"/>
        <v>23813.600000000002</v>
      </c>
      <c r="AC166" s="34">
        <f t="shared" si="75"/>
        <v>35711.5</v>
      </c>
      <c r="AD166" s="34">
        <f t="shared" si="75"/>
        <v>8690.2999999999993</v>
      </c>
      <c r="AE166" s="34">
        <f t="shared" si="75"/>
        <v>1907.6</v>
      </c>
      <c r="AF166" s="34">
        <f t="shared" si="75"/>
        <v>1300</v>
      </c>
      <c r="AG166" s="34">
        <f t="shared" si="75"/>
        <v>23813.600000000002</v>
      </c>
    </row>
    <row r="167" spans="1:33" ht="35.1" customHeight="1">
      <c r="A167" s="35"/>
      <c r="B167" s="24"/>
      <c r="C167" s="39" t="s">
        <v>806</v>
      </c>
      <c r="D167" s="39" t="s">
        <v>71</v>
      </c>
      <c r="E167" s="39" t="s">
        <v>807</v>
      </c>
      <c r="F167" s="39"/>
      <c r="G167" s="39"/>
      <c r="H167" s="39"/>
      <c r="I167" s="39" t="s">
        <v>809</v>
      </c>
      <c r="J167" s="39" t="s">
        <v>71</v>
      </c>
      <c r="K167" s="39" t="s">
        <v>810</v>
      </c>
      <c r="L167" s="12"/>
      <c r="M167" s="23" t="s">
        <v>610</v>
      </c>
      <c r="N167" s="12">
        <f t="shared" ref="N167:N178" si="76">O167+P167+Q167+R167</f>
        <v>1535.3</v>
      </c>
      <c r="O167" s="12"/>
      <c r="P167" s="12"/>
      <c r="Q167" s="12"/>
      <c r="R167" s="12">
        <v>1535.3</v>
      </c>
      <c r="S167" s="12">
        <f t="shared" ref="S167:S173" si="77">T167+U167+V167+W167</f>
        <v>2663</v>
      </c>
      <c r="T167" s="12"/>
      <c r="U167" s="12"/>
      <c r="V167" s="12"/>
      <c r="W167" s="12">
        <v>2663</v>
      </c>
      <c r="X167" s="12">
        <f t="shared" ref="X167:X177" si="78">Y167+Z167+AA167+AB167</f>
        <v>2663</v>
      </c>
      <c r="Y167" s="12"/>
      <c r="Z167" s="12"/>
      <c r="AA167" s="12"/>
      <c r="AB167" s="12">
        <v>2663</v>
      </c>
      <c r="AC167" s="12">
        <f t="shared" ref="AC167:AC177" si="79">AD167+AE167+AF167+AG167</f>
        <v>2663</v>
      </c>
      <c r="AD167" s="12"/>
      <c r="AE167" s="12"/>
      <c r="AF167" s="12"/>
      <c r="AG167" s="12">
        <v>2663</v>
      </c>
    </row>
    <row r="168" spans="1:33" ht="35.1" customHeight="1" thickBot="1">
      <c r="A168" s="13"/>
      <c r="B168" s="28"/>
      <c r="C168" s="154" t="s">
        <v>734</v>
      </c>
      <c r="D168" s="149" t="s">
        <v>808</v>
      </c>
      <c r="E168" s="189" t="s">
        <v>710</v>
      </c>
      <c r="F168" s="45"/>
      <c r="G168" s="45"/>
      <c r="H168" s="45"/>
      <c r="I168" s="62" t="s">
        <v>816</v>
      </c>
      <c r="J168" s="39" t="s">
        <v>71</v>
      </c>
      <c r="K168" s="62" t="s">
        <v>817</v>
      </c>
      <c r="L168" s="37"/>
      <c r="M168" s="184" t="s">
        <v>611</v>
      </c>
      <c r="N168" s="37">
        <f t="shared" si="76"/>
        <v>4050</v>
      </c>
      <c r="O168" s="37"/>
      <c r="P168" s="37"/>
      <c r="Q168" s="37"/>
      <c r="R168" s="37">
        <v>4050</v>
      </c>
      <c r="S168" s="37">
        <f t="shared" si="77"/>
        <v>550</v>
      </c>
      <c r="T168" s="37"/>
      <c r="U168" s="37"/>
      <c r="V168" s="37"/>
      <c r="W168" s="37">
        <v>550</v>
      </c>
      <c r="X168" s="37">
        <f t="shared" si="78"/>
        <v>550</v>
      </c>
      <c r="Y168" s="37"/>
      <c r="Z168" s="37"/>
      <c r="AA168" s="37"/>
      <c r="AB168" s="37">
        <v>550</v>
      </c>
      <c r="AC168" s="37">
        <f t="shared" si="79"/>
        <v>550</v>
      </c>
      <c r="AD168" s="37"/>
      <c r="AE168" s="37"/>
      <c r="AF168" s="37"/>
      <c r="AG168" s="37">
        <v>550</v>
      </c>
    </row>
    <row r="169" spans="1:33" ht="35.1" customHeight="1" thickBot="1">
      <c r="A169" s="13"/>
      <c r="B169" s="28"/>
      <c r="C169" s="117"/>
      <c r="D169" s="183"/>
      <c r="E169" s="183"/>
      <c r="F169" s="39"/>
      <c r="G169" s="39"/>
      <c r="H169" s="39"/>
      <c r="I169" s="39" t="s">
        <v>811</v>
      </c>
      <c r="J169" s="39" t="s">
        <v>71</v>
      </c>
      <c r="K169" s="39" t="s">
        <v>812</v>
      </c>
      <c r="L169" s="12"/>
      <c r="M169" s="23" t="s">
        <v>612</v>
      </c>
      <c r="N169" s="12">
        <f t="shared" si="76"/>
        <v>2283.3000000000002</v>
      </c>
      <c r="O169" s="12"/>
      <c r="P169" s="12"/>
      <c r="Q169" s="12"/>
      <c r="R169" s="12">
        <v>2283.3000000000002</v>
      </c>
      <c r="S169" s="12">
        <f t="shared" si="77"/>
        <v>1725</v>
      </c>
      <c r="T169" s="12"/>
      <c r="U169" s="12"/>
      <c r="V169" s="12"/>
      <c r="W169" s="12">
        <v>1725</v>
      </c>
      <c r="X169" s="12">
        <f t="shared" si="78"/>
        <v>1725</v>
      </c>
      <c r="Y169" s="12"/>
      <c r="Z169" s="12"/>
      <c r="AA169" s="12"/>
      <c r="AB169" s="12">
        <v>1725</v>
      </c>
      <c r="AC169" s="12">
        <f t="shared" si="79"/>
        <v>1725</v>
      </c>
      <c r="AD169" s="12"/>
      <c r="AE169" s="12"/>
      <c r="AF169" s="12"/>
      <c r="AG169" s="12">
        <v>1725</v>
      </c>
    </row>
    <row r="170" spans="1:33" ht="35.1" customHeight="1" thickBot="1">
      <c r="A170" s="13"/>
      <c r="B170" s="201"/>
      <c r="C170" s="117"/>
      <c r="D170" s="183"/>
      <c r="E170" s="183"/>
      <c r="F170" s="39"/>
      <c r="G170" s="39"/>
      <c r="H170" s="39"/>
      <c r="I170" s="39" t="s">
        <v>814</v>
      </c>
      <c r="J170" s="39" t="s">
        <v>71</v>
      </c>
      <c r="K170" s="39" t="s">
        <v>815</v>
      </c>
      <c r="L170" s="12"/>
      <c r="M170" s="23" t="s">
        <v>613</v>
      </c>
      <c r="N170" s="12">
        <f t="shared" si="76"/>
        <v>18243.900000000001</v>
      </c>
      <c r="O170" s="12"/>
      <c r="P170" s="12"/>
      <c r="Q170" s="12"/>
      <c r="R170" s="12">
        <v>18243.900000000001</v>
      </c>
      <c r="S170" s="12">
        <f t="shared" si="77"/>
        <v>5526.2</v>
      </c>
      <c r="T170" s="12"/>
      <c r="U170" s="12"/>
      <c r="V170" s="12"/>
      <c r="W170" s="12">
        <v>5526.2</v>
      </c>
      <c r="X170" s="12">
        <f t="shared" si="78"/>
        <v>5526.2</v>
      </c>
      <c r="Y170" s="12"/>
      <c r="Z170" s="12"/>
      <c r="AA170" s="12"/>
      <c r="AB170" s="12">
        <v>5526.2</v>
      </c>
      <c r="AC170" s="12">
        <f t="shared" si="79"/>
        <v>5526.2</v>
      </c>
      <c r="AD170" s="12"/>
      <c r="AE170" s="12"/>
      <c r="AF170" s="12"/>
      <c r="AG170" s="12">
        <v>5526.2</v>
      </c>
    </row>
    <row r="171" spans="1:33" ht="35.1" customHeight="1" thickBot="1">
      <c r="A171" s="125"/>
      <c r="B171" s="24"/>
      <c r="C171" s="194" t="s">
        <v>23</v>
      </c>
      <c r="D171" s="15" t="s">
        <v>61</v>
      </c>
      <c r="E171" s="194" t="s">
        <v>62</v>
      </c>
      <c r="F171" s="194" t="s">
        <v>257</v>
      </c>
      <c r="G171" s="15" t="s">
        <v>111</v>
      </c>
      <c r="H171" s="194" t="s">
        <v>112</v>
      </c>
      <c r="I171" s="269" t="s">
        <v>639</v>
      </c>
      <c r="J171" s="269" t="s">
        <v>770</v>
      </c>
      <c r="K171" s="275" t="s">
        <v>640</v>
      </c>
      <c r="L171" s="12"/>
      <c r="M171" s="23" t="s">
        <v>283</v>
      </c>
      <c r="N171" s="12">
        <f t="shared" si="76"/>
        <v>10783.4</v>
      </c>
      <c r="O171" s="12"/>
      <c r="P171" s="12"/>
      <c r="Q171" s="12"/>
      <c r="R171" s="12">
        <f>7400+3383.4</f>
        <v>10783.4</v>
      </c>
      <c r="S171" s="12">
        <f t="shared" si="77"/>
        <v>7400</v>
      </c>
      <c r="T171" s="12"/>
      <c r="U171" s="12"/>
      <c r="V171" s="12"/>
      <c r="W171" s="12">
        <v>7400</v>
      </c>
      <c r="X171" s="12">
        <f t="shared" si="78"/>
        <v>7400</v>
      </c>
      <c r="Y171" s="12"/>
      <c r="Z171" s="12"/>
      <c r="AA171" s="12"/>
      <c r="AB171" s="12">
        <v>7400</v>
      </c>
      <c r="AC171" s="12">
        <f t="shared" si="79"/>
        <v>7400</v>
      </c>
      <c r="AD171" s="12"/>
      <c r="AE171" s="12"/>
      <c r="AF171" s="12"/>
      <c r="AG171" s="12">
        <v>7400</v>
      </c>
    </row>
    <row r="172" spans="1:33" ht="35.1" customHeight="1" thickBot="1">
      <c r="A172" s="125"/>
      <c r="B172" s="24"/>
      <c r="C172" s="194"/>
      <c r="D172" s="15"/>
      <c r="E172" s="194"/>
      <c r="F172" s="12"/>
      <c r="G172" s="12"/>
      <c r="H172" s="12"/>
      <c r="I172" s="273"/>
      <c r="J172" s="273"/>
      <c r="K172" s="273"/>
      <c r="L172" s="12"/>
      <c r="M172" s="23" t="s">
        <v>284</v>
      </c>
      <c r="N172" s="12">
        <f t="shared" si="76"/>
        <v>250</v>
      </c>
      <c r="O172" s="12"/>
      <c r="P172" s="12"/>
      <c r="Q172" s="12"/>
      <c r="R172" s="12">
        <f>100+50+100</f>
        <v>250</v>
      </c>
      <c r="S172" s="12">
        <f t="shared" si="77"/>
        <v>250</v>
      </c>
      <c r="T172" s="12"/>
      <c r="U172" s="12"/>
      <c r="V172" s="12"/>
      <c r="W172" s="12">
        <v>250</v>
      </c>
      <c r="X172" s="12">
        <f t="shared" si="78"/>
        <v>250</v>
      </c>
      <c r="Y172" s="12"/>
      <c r="Z172" s="12"/>
      <c r="AA172" s="12"/>
      <c r="AB172" s="12">
        <v>250</v>
      </c>
      <c r="AC172" s="12">
        <f t="shared" si="79"/>
        <v>250</v>
      </c>
      <c r="AD172" s="12"/>
      <c r="AE172" s="12"/>
      <c r="AF172" s="12"/>
      <c r="AG172" s="12">
        <v>250</v>
      </c>
    </row>
    <row r="173" spans="1:33" ht="35.1" customHeight="1" thickBot="1">
      <c r="A173" s="125"/>
      <c r="B173" s="24"/>
      <c r="C173" s="194"/>
      <c r="D173" s="15"/>
      <c r="E173" s="194"/>
      <c r="F173" s="12"/>
      <c r="G173" s="12"/>
      <c r="H173" s="12"/>
      <c r="I173" s="274"/>
      <c r="J173" s="274"/>
      <c r="K173" s="274"/>
      <c r="L173" s="12"/>
      <c r="M173" s="23" t="s">
        <v>285</v>
      </c>
      <c r="N173" s="12">
        <f t="shared" si="76"/>
        <v>1500</v>
      </c>
      <c r="O173" s="12"/>
      <c r="P173" s="12"/>
      <c r="Q173" s="12"/>
      <c r="R173" s="12">
        <f>500+1000</f>
        <v>1500</v>
      </c>
      <c r="S173" s="12">
        <f t="shared" si="77"/>
        <v>500</v>
      </c>
      <c r="T173" s="12"/>
      <c r="U173" s="12"/>
      <c r="V173" s="12"/>
      <c r="W173" s="12">
        <v>500</v>
      </c>
      <c r="X173" s="12">
        <f t="shared" si="78"/>
        <v>500</v>
      </c>
      <c r="Y173" s="12"/>
      <c r="Z173" s="12"/>
      <c r="AA173" s="12"/>
      <c r="AB173" s="12">
        <v>500</v>
      </c>
      <c r="AC173" s="12">
        <f t="shared" si="79"/>
        <v>500</v>
      </c>
      <c r="AD173" s="12"/>
      <c r="AE173" s="12"/>
      <c r="AF173" s="12"/>
      <c r="AG173" s="12">
        <v>500</v>
      </c>
    </row>
    <row r="174" spans="1:33" ht="35.1" customHeight="1" thickBot="1">
      <c r="A174" s="125"/>
      <c r="B174" s="24"/>
      <c r="C174" s="194"/>
      <c r="D174" s="194"/>
      <c r="E174" s="194"/>
      <c r="F174" s="39"/>
      <c r="G174" s="39"/>
      <c r="H174" s="39"/>
      <c r="I174" s="39" t="s">
        <v>839</v>
      </c>
      <c r="J174" s="39" t="s">
        <v>71</v>
      </c>
      <c r="K174" s="39" t="s">
        <v>840</v>
      </c>
      <c r="L174" s="12"/>
      <c r="M174" s="23" t="s">
        <v>286</v>
      </c>
      <c r="N174" s="12">
        <f t="shared" si="76"/>
        <v>15711.1</v>
      </c>
      <c r="O174" s="12">
        <v>13479.6</v>
      </c>
      <c r="P174" s="12">
        <f>1497.8-0.1</f>
        <v>1497.7</v>
      </c>
      <c r="Q174" s="12"/>
      <c r="R174" s="12">
        <v>733.8</v>
      </c>
      <c r="S174" s="12">
        <f>T174+U174+V174+W174</f>
        <v>11185</v>
      </c>
      <c r="T174" s="12">
        <v>9013.1</v>
      </c>
      <c r="U174" s="12">
        <f>1467.2+0.1</f>
        <v>1467.3</v>
      </c>
      <c r="V174" s="12"/>
      <c r="W174" s="12">
        <v>704.6</v>
      </c>
      <c r="X174" s="12">
        <f t="shared" si="78"/>
        <v>11097.3</v>
      </c>
      <c r="Y174" s="12">
        <v>8690.2999999999993</v>
      </c>
      <c r="Z174" s="12">
        <v>1907.6</v>
      </c>
      <c r="AA174" s="12"/>
      <c r="AB174" s="12">
        <v>499.4</v>
      </c>
      <c r="AC174" s="12">
        <f t="shared" si="79"/>
        <v>11097.3</v>
      </c>
      <c r="AD174" s="12">
        <v>8690.2999999999993</v>
      </c>
      <c r="AE174" s="12">
        <v>1907.6</v>
      </c>
      <c r="AF174" s="12"/>
      <c r="AG174" s="12">
        <v>499.4</v>
      </c>
    </row>
    <row r="175" spans="1:33" ht="35.1" customHeight="1" thickBot="1">
      <c r="A175" s="13"/>
      <c r="B175" s="21"/>
      <c r="C175" s="191"/>
      <c r="D175" s="191"/>
      <c r="E175" s="191"/>
      <c r="F175" s="12"/>
      <c r="G175" s="12"/>
      <c r="H175" s="12"/>
      <c r="I175" s="269" t="s">
        <v>639</v>
      </c>
      <c r="J175" s="269" t="s">
        <v>770</v>
      </c>
      <c r="K175" s="275" t="s">
        <v>640</v>
      </c>
      <c r="L175" s="12"/>
      <c r="M175" s="23" t="s">
        <v>287</v>
      </c>
      <c r="N175" s="12">
        <f t="shared" si="76"/>
        <v>1300</v>
      </c>
      <c r="O175" s="12"/>
      <c r="P175" s="12"/>
      <c r="Q175" s="12">
        <v>1300</v>
      </c>
      <c r="R175" s="12">
        <v>0</v>
      </c>
      <c r="S175" s="12">
        <f t="shared" ref="S175:S177" si="80">T175+U175+V175+W175</f>
        <v>1300</v>
      </c>
      <c r="T175" s="12"/>
      <c r="U175" s="12"/>
      <c r="V175" s="12">
        <v>1300</v>
      </c>
      <c r="W175" s="12">
        <v>0</v>
      </c>
      <c r="X175" s="12">
        <f t="shared" si="78"/>
        <v>1300</v>
      </c>
      <c r="Y175" s="12"/>
      <c r="Z175" s="12"/>
      <c r="AA175" s="12">
        <v>1300</v>
      </c>
      <c r="AB175" s="12">
        <v>0</v>
      </c>
      <c r="AC175" s="12">
        <f t="shared" si="79"/>
        <v>1300</v>
      </c>
      <c r="AD175" s="12"/>
      <c r="AE175" s="12"/>
      <c r="AF175" s="12">
        <v>1300</v>
      </c>
      <c r="AG175" s="12">
        <v>0</v>
      </c>
    </row>
    <row r="176" spans="1:33" ht="35.1" customHeight="1" thickBot="1">
      <c r="A176" s="13"/>
      <c r="B176" s="21"/>
      <c r="C176" s="194"/>
      <c r="D176" s="194"/>
      <c r="E176" s="194"/>
      <c r="F176" s="12"/>
      <c r="G176" s="12"/>
      <c r="H176" s="12"/>
      <c r="I176" s="273"/>
      <c r="J176" s="273"/>
      <c r="K176" s="273"/>
      <c r="L176" s="12"/>
      <c r="M176" s="23" t="s">
        <v>288</v>
      </c>
      <c r="N176" s="12">
        <f t="shared" si="76"/>
        <v>5225.8</v>
      </c>
      <c r="O176" s="12"/>
      <c r="P176" s="12"/>
      <c r="Q176" s="12"/>
      <c r="R176" s="12">
        <f>3400+1825.8</f>
        <v>5225.8</v>
      </c>
      <c r="S176" s="12">
        <f t="shared" si="80"/>
        <v>3400</v>
      </c>
      <c r="T176" s="12"/>
      <c r="U176" s="12"/>
      <c r="V176" s="12"/>
      <c r="W176" s="12">
        <v>3400</v>
      </c>
      <c r="X176" s="12">
        <f t="shared" si="78"/>
        <v>3400</v>
      </c>
      <c r="Y176" s="12"/>
      <c r="Z176" s="12"/>
      <c r="AA176" s="12"/>
      <c r="AB176" s="12">
        <v>3400</v>
      </c>
      <c r="AC176" s="12">
        <f t="shared" si="79"/>
        <v>3400</v>
      </c>
      <c r="AD176" s="12"/>
      <c r="AE176" s="12"/>
      <c r="AF176" s="12"/>
      <c r="AG176" s="12">
        <v>3400</v>
      </c>
    </row>
    <row r="177" spans="1:33" ht="35.1" customHeight="1" thickBot="1">
      <c r="A177" s="13"/>
      <c r="B177" s="21" t="s">
        <v>289</v>
      </c>
      <c r="C177" s="194"/>
      <c r="D177" s="194"/>
      <c r="E177" s="194"/>
      <c r="F177" s="12"/>
      <c r="G177" s="12"/>
      <c r="H177" s="12"/>
      <c r="I177" s="273"/>
      <c r="J177" s="273"/>
      <c r="K177" s="273"/>
      <c r="L177" s="12"/>
      <c r="M177" s="23" t="s">
        <v>290</v>
      </c>
      <c r="N177" s="12">
        <f t="shared" si="76"/>
        <v>1300</v>
      </c>
      <c r="O177" s="12"/>
      <c r="P177" s="12"/>
      <c r="Q177" s="12"/>
      <c r="R177" s="12">
        <v>1300</v>
      </c>
      <c r="S177" s="12">
        <f t="shared" si="80"/>
        <v>1300</v>
      </c>
      <c r="T177" s="12"/>
      <c r="U177" s="12"/>
      <c r="V177" s="12"/>
      <c r="W177" s="12">
        <v>1300</v>
      </c>
      <c r="X177" s="12">
        <f t="shared" si="78"/>
        <v>1300</v>
      </c>
      <c r="Y177" s="12"/>
      <c r="Z177" s="12"/>
      <c r="AA177" s="12"/>
      <c r="AB177" s="12">
        <v>1300</v>
      </c>
      <c r="AC177" s="12">
        <f t="shared" si="79"/>
        <v>1300</v>
      </c>
      <c r="AD177" s="12"/>
      <c r="AE177" s="12"/>
      <c r="AF177" s="12"/>
      <c r="AG177" s="12">
        <v>1300</v>
      </c>
    </row>
    <row r="178" spans="1:33" ht="35.1" customHeight="1" thickBot="1">
      <c r="A178" s="13"/>
      <c r="B178" s="21"/>
      <c r="C178" s="194"/>
      <c r="D178" s="194"/>
      <c r="E178" s="194"/>
      <c r="F178" s="12"/>
      <c r="G178" s="12"/>
      <c r="H178" s="12"/>
      <c r="I178" s="274"/>
      <c r="J178" s="274"/>
      <c r="K178" s="274"/>
      <c r="L178" s="12"/>
      <c r="M178" s="23" t="s">
        <v>614</v>
      </c>
      <c r="N178" s="12">
        <f t="shared" si="76"/>
        <v>5000</v>
      </c>
      <c r="O178" s="12"/>
      <c r="P178" s="12"/>
      <c r="Q178" s="12"/>
      <c r="R178" s="12">
        <v>5000</v>
      </c>
      <c r="S178" s="12">
        <v>0</v>
      </c>
      <c r="T178" s="12"/>
      <c r="U178" s="12"/>
      <c r="V178" s="12"/>
      <c r="W178" s="12">
        <v>0</v>
      </c>
      <c r="X178" s="12">
        <v>0</v>
      </c>
      <c r="Y178" s="12"/>
      <c r="Z178" s="12"/>
      <c r="AA178" s="12"/>
      <c r="AB178" s="12">
        <v>0</v>
      </c>
      <c r="AC178" s="12">
        <v>0</v>
      </c>
      <c r="AD178" s="12"/>
      <c r="AE178" s="12"/>
      <c r="AF178" s="12"/>
      <c r="AG178" s="12">
        <v>0</v>
      </c>
    </row>
    <row r="179" spans="1:33" ht="35.1" customHeight="1" thickBot="1">
      <c r="A179" s="16" t="s">
        <v>291</v>
      </c>
      <c r="B179" s="17">
        <v>2544</v>
      </c>
      <c r="C179" s="18"/>
      <c r="D179" s="19"/>
      <c r="E179" s="19"/>
      <c r="F179" s="19"/>
      <c r="G179" s="19"/>
      <c r="H179" s="19"/>
      <c r="I179" s="25"/>
      <c r="J179" s="25"/>
      <c r="K179" s="26"/>
      <c r="L179" s="19">
        <v>20</v>
      </c>
      <c r="M179" s="19"/>
      <c r="N179" s="165">
        <f>N180</f>
        <v>495</v>
      </c>
      <c r="O179" s="165">
        <f t="shared" ref="O179:AG179" si="81">O180</f>
        <v>0</v>
      </c>
      <c r="P179" s="165">
        <f t="shared" si="81"/>
        <v>0</v>
      </c>
      <c r="Q179" s="165">
        <f t="shared" si="81"/>
        <v>0</v>
      </c>
      <c r="R179" s="165">
        <f t="shared" si="81"/>
        <v>495</v>
      </c>
      <c r="S179" s="165">
        <f t="shared" si="81"/>
        <v>0</v>
      </c>
      <c r="T179" s="165">
        <f t="shared" si="81"/>
        <v>0</v>
      </c>
      <c r="U179" s="165">
        <f t="shared" si="81"/>
        <v>0</v>
      </c>
      <c r="V179" s="165">
        <f t="shared" si="81"/>
        <v>0</v>
      </c>
      <c r="W179" s="165">
        <f t="shared" si="81"/>
        <v>0</v>
      </c>
      <c r="X179" s="165">
        <f t="shared" si="81"/>
        <v>0</v>
      </c>
      <c r="Y179" s="165">
        <f t="shared" si="81"/>
        <v>0</v>
      </c>
      <c r="Z179" s="165">
        <f t="shared" si="81"/>
        <v>0</v>
      </c>
      <c r="AA179" s="165">
        <f t="shared" si="81"/>
        <v>0</v>
      </c>
      <c r="AB179" s="165">
        <f t="shared" si="81"/>
        <v>0</v>
      </c>
      <c r="AC179" s="165">
        <f t="shared" si="81"/>
        <v>0</v>
      </c>
      <c r="AD179" s="165">
        <f t="shared" si="81"/>
        <v>0</v>
      </c>
      <c r="AE179" s="165">
        <f t="shared" si="81"/>
        <v>0</v>
      </c>
      <c r="AF179" s="165">
        <f t="shared" si="81"/>
        <v>0</v>
      </c>
      <c r="AG179" s="165">
        <f t="shared" si="81"/>
        <v>0</v>
      </c>
    </row>
    <row r="180" spans="1:33" ht="35.1" customHeight="1" thickBot="1">
      <c r="A180" s="13"/>
      <c r="B180" s="28"/>
      <c r="C180" s="22" t="s">
        <v>76</v>
      </c>
      <c r="D180" s="22" t="s">
        <v>292</v>
      </c>
      <c r="E180" s="22" t="s">
        <v>107</v>
      </c>
      <c r="F180" s="22" t="s">
        <v>293</v>
      </c>
      <c r="G180" s="22" t="s">
        <v>294</v>
      </c>
      <c r="H180" s="22" t="s">
        <v>295</v>
      </c>
      <c r="I180" s="62" t="s">
        <v>639</v>
      </c>
      <c r="J180" s="45" t="s">
        <v>869</v>
      </c>
      <c r="K180" s="140" t="s">
        <v>640</v>
      </c>
      <c r="L180" s="12"/>
      <c r="M180" s="23" t="s">
        <v>296</v>
      </c>
      <c r="N180" s="12">
        <f>O180+P180+R180</f>
        <v>495</v>
      </c>
      <c r="O180" s="12"/>
      <c r="P180" s="12"/>
      <c r="Q180" s="12"/>
      <c r="R180" s="12">
        <v>495</v>
      </c>
      <c r="S180" s="12">
        <f>W180</f>
        <v>0</v>
      </c>
      <c r="T180" s="12"/>
      <c r="U180" s="12"/>
      <c r="V180" s="12"/>
      <c r="W180" s="12">
        <v>0</v>
      </c>
      <c r="X180" s="12"/>
      <c r="Y180" s="12"/>
      <c r="Z180" s="12"/>
      <c r="AA180" s="12"/>
      <c r="AB180" s="12"/>
      <c r="AC180" s="12"/>
      <c r="AD180" s="12"/>
      <c r="AE180" s="12"/>
      <c r="AF180" s="12"/>
      <c r="AG180" s="12"/>
    </row>
    <row r="181" spans="1:33" s="219" customFormat="1" ht="35.1" customHeight="1" thickBot="1">
      <c r="A181" s="16" t="s">
        <v>874</v>
      </c>
      <c r="B181" s="17">
        <v>2547</v>
      </c>
      <c r="C181" s="18"/>
      <c r="D181" s="19"/>
      <c r="E181" s="19"/>
      <c r="F181" s="19"/>
      <c r="G181" s="19"/>
      <c r="H181" s="19"/>
      <c r="I181" s="71"/>
      <c r="J181" s="71"/>
      <c r="K181" s="218"/>
      <c r="L181" s="19">
        <v>12</v>
      </c>
      <c r="M181" s="64"/>
      <c r="N181" s="19">
        <f t="shared" ref="N181:AG181" si="82">N182</f>
        <v>195</v>
      </c>
      <c r="O181" s="19">
        <f t="shared" si="82"/>
        <v>0</v>
      </c>
      <c r="P181" s="19">
        <f t="shared" si="82"/>
        <v>0</v>
      </c>
      <c r="Q181" s="19">
        <f t="shared" si="82"/>
        <v>0</v>
      </c>
      <c r="R181" s="19">
        <f t="shared" si="82"/>
        <v>195</v>
      </c>
      <c r="S181" s="19">
        <f t="shared" si="82"/>
        <v>0</v>
      </c>
      <c r="T181" s="19">
        <f t="shared" si="82"/>
        <v>0</v>
      </c>
      <c r="U181" s="19">
        <f t="shared" si="82"/>
        <v>0</v>
      </c>
      <c r="V181" s="19">
        <f t="shared" si="82"/>
        <v>0</v>
      </c>
      <c r="W181" s="19">
        <f t="shared" si="82"/>
        <v>0</v>
      </c>
      <c r="X181" s="19">
        <f t="shared" si="82"/>
        <v>0</v>
      </c>
      <c r="Y181" s="19">
        <f t="shared" si="82"/>
        <v>0</v>
      </c>
      <c r="Z181" s="19">
        <f t="shared" si="82"/>
        <v>0</v>
      </c>
      <c r="AA181" s="19">
        <f t="shared" si="82"/>
        <v>0</v>
      </c>
      <c r="AB181" s="19">
        <f t="shared" si="82"/>
        <v>0</v>
      </c>
      <c r="AC181" s="19">
        <f t="shared" si="82"/>
        <v>0</v>
      </c>
      <c r="AD181" s="19">
        <f t="shared" si="82"/>
        <v>0</v>
      </c>
      <c r="AE181" s="19">
        <f t="shared" si="82"/>
        <v>0</v>
      </c>
      <c r="AF181" s="19">
        <f t="shared" si="82"/>
        <v>0</v>
      </c>
      <c r="AG181" s="19">
        <f t="shared" si="82"/>
        <v>0</v>
      </c>
    </row>
    <row r="182" spans="1:33" ht="35.1" customHeight="1" thickBot="1">
      <c r="A182" s="13"/>
      <c r="B182" s="17"/>
      <c r="C182" s="39" t="s">
        <v>76</v>
      </c>
      <c r="D182" s="23" t="s">
        <v>716</v>
      </c>
      <c r="E182" s="23" t="s">
        <v>717</v>
      </c>
      <c r="F182" s="19"/>
      <c r="G182" s="19"/>
      <c r="H182" s="19"/>
      <c r="I182" s="62" t="s">
        <v>639</v>
      </c>
      <c r="J182" s="45" t="s">
        <v>719</v>
      </c>
      <c r="K182" s="140" t="s">
        <v>640</v>
      </c>
      <c r="L182" s="19"/>
      <c r="M182" s="243" t="s">
        <v>608</v>
      </c>
      <c r="N182" s="12">
        <f>R182</f>
        <v>195</v>
      </c>
      <c r="O182" s="12"/>
      <c r="P182" s="12"/>
      <c r="Q182" s="12"/>
      <c r="R182" s="12">
        <v>195</v>
      </c>
      <c r="S182" s="12">
        <f>W182</f>
        <v>0</v>
      </c>
      <c r="T182" s="12"/>
      <c r="U182" s="12"/>
      <c r="V182" s="12"/>
      <c r="W182" s="12">
        <v>0</v>
      </c>
      <c r="X182" s="12">
        <f>Y182+Z182+AA182+AB182</f>
        <v>0</v>
      </c>
      <c r="Y182" s="12"/>
      <c r="Z182" s="12"/>
      <c r="AA182" s="12"/>
      <c r="AB182" s="12">
        <v>0</v>
      </c>
      <c r="AC182" s="12">
        <f>AD182+AE182+AF182+AG182</f>
        <v>0</v>
      </c>
      <c r="AD182" s="12"/>
      <c r="AE182" s="12"/>
      <c r="AF182" s="12"/>
      <c r="AG182" s="12">
        <v>0</v>
      </c>
    </row>
    <row r="183" spans="1:33" s="219" customFormat="1" ht="35.1" customHeight="1" thickBot="1">
      <c r="A183" s="16" t="s">
        <v>875</v>
      </c>
      <c r="B183" s="17">
        <v>2551</v>
      </c>
      <c r="C183" s="18"/>
      <c r="D183" s="19"/>
      <c r="E183" s="19"/>
      <c r="F183" s="19"/>
      <c r="G183" s="19"/>
      <c r="H183" s="19"/>
      <c r="I183" s="19"/>
      <c r="J183" s="19"/>
      <c r="K183" s="19"/>
      <c r="L183" s="19">
        <v>12</v>
      </c>
      <c r="M183" s="64"/>
      <c r="N183" s="19">
        <f t="shared" ref="N183:AG183" si="83">N184+N185</f>
        <v>530.79999999999995</v>
      </c>
      <c r="O183" s="19">
        <f t="shared" si="83"/>
        <v>0</v>
      </c>
      <c r="P183" s="19">
        <f t="shared" si="83"/>
        <v>0</v>
      </c>
      <c r="Q183" s="19">
        <f t="shared" si="83"/>
        <v>0</v>
      </c>
      <c r="R183" s="19">
        <f t="shared" si="83"/>
        <v>530.79999999999995</v>
      </c>
      <c r="S183" s="19">
        <f t="shared" si="83"/>
        <v>100</v>
      </c>
      <c r="T183" s="19">
        <f t="shared" si="83"/>
        <v>0</v>
      </c>
      <c r="U183" s="19">
        <f t="shared" si="83"/>
        <v>0</v>
      </c>
      <c r="V183" s="19">
        <f t="shared" si="83"/>
        <v>0</v>
      </c>
      <c r="W183" s="19">
        <f t="shared" si="83"/>
        <v>100</v>
      </c>
      <c r="X183" s="19">
        <f t="shared" si="83"/>
        <v>100</v>
      </c>
      <c r="Y183" s="19">
        <f t="shared" si="83"/>
        <v>0</v>
      </c>
      <c r="Z183" s="19">
        <f t="shared" si="83"/>
        <v>0</v>
      </c>
      <c r="AA183" s="19">
        <f t="shared" si="83"/>
        <v>0</v>
      </c>
      <c r="AB183" s="19">
        <f t="shared" si="83"/>
        <v>100</v>
      </c>
      <c r="AC183" s="19">
        <f t="shared" si="83"/>
        <v>100</v>
      </c>
      <c r="AD183" s="19">
        <f t="shared" si="83"/>
        <v>0</v>
      </c>
      <c r="AE183" s="19">
        <f t="shared" si="83"/>
        <v>0</v>
      </c>
      <c r="AF183" s="19">
        <f t="shared" si="83"/>
        <v>0</v>
      </c>
      <c r="AG183" s="19">
        <f t="shared" si="83"/>
        <v>100</v>
      </c>
    </row>
    <row r="184" spans="1:33" ht="35.1" customHeight="1" thickBot="1">
      <c r="A184" s="13"/>
      <c r="B184" s="17"/>
      <c r="C184" s="39" t="s">
        <v>76</v>
      </c>
      <c r="D184" s="23" t="s">
        <v>718</v>
      </c>
      <c r="E184" s="23" t="s">
        <v>717</v>
      </c>
      <c r="F184" s="19"/>
      <c r="G184" s="19"/>
      <c r="H184" s="19"/>
      <c r="I184" s="62" t="s">
        <v>639</v>
      </c>
      <c r="J184" s="39" t="s">
        <v>720</v>
      </c>
      <c r="K184" s="166" t="s">
        <v>640</v>
      </c>
      <c r="L184" s="19"/>
      <c r="M184" s="243" t="s">
        <v>98</v>
      </c>
      <c r="N184" s="12">
        <f>R184</f>
        <v>100</v>
      </c>
      <c r="O184" s="12"/>
      <c r="P184" s="12"/>
      <c r="Q184" s="12"/>
      <c r="R184" s="12">
        <v>100</v>
      </c>
      <c r="S184" s="12">
        <f>W184</f>
        <v>100</v>
      </c>
      <c r="T184" s="12"/>
      <c r="U184" s="12"/>
      <c r="V184" s="12"/>
      <c r="W184" s="12">
        <v>100</v>
      </c>
      <c r="X184" s="12">
        <f>Y184+Z184+AA184+AB184</f>
        <v>100</v>
      </c>
      <c r="Y184" s="12"/>
      <c r="Z184" s="12"/>
      <c r="AA184" s="12"/>
      <c r="AB184" s="12">
        <v>100</v>
      </c>
      <c r="AC184" s="12">
        <f>AD184+AE184+AF184+AG184</f>
        <v>100</v>
      </c>
      <c r="AD184" s="12"/>
      <c r="AE184" s="12"/>
      <c r="AF184" s="12"/>
      <c r="AG184" s="12">
        <v>100</v>
      </c>
    </row>
    <row r="185" spans="1:33" ht="35.1" customHeight="1" thickBot="1">
      <c r="A185" s="13"/>
      <c r="B185" s="28"/>
      <c r="C185" s="11"/>
      <c r="D185" s="12"/>
      <c r="E185" s="12"/>
      <c r="F185" s="12"/>
      <c r="G185" s="12"/>
      <c r="H185" s="12"/>
      <c r="I185" s="12"/>
      <c r="J185" s="12"/>
      <c r="K185" s="12"/>
      <c r="L185" s="12"/>
      <c r="M185" s="243" t="s">
        <v>615</v>
      </c>
      <c r="N185" s="12">
        <f>R185</f>
        <v>430.8</v>
      </c>
      <c r="O185" s="12"/>
      <c r="P185" s="12"/>
      <c r="Q185" s="12"/>
      <c r="R185" s="12">
        <v>430.8</v>
      </c>
      <c r="S185" s="12">
        <v>0</v>
      </c>
      <c r="T185" s="12"/>
      <c r="U185" s="12"/>
      <c r="V185" s="12"/>
      <c r="W185" s="12">
        <v>0</v>
      </c>
      <c r="X185" s="12">
        <v>0</v>
      </c>
      <c r="Y185" s="12"/>
      <c r="Z185" s="12"/>
      <c r="AA185" s="12"/>
      <c r="AB185" s="12">
        <v>0</v>
      </c>
      <c r="AC185" s="12">
        <v>0</v>
      </c>
      <c r="AD185" s="12"/>
      <c r="AE185" s="12"/>
      <c r="AF185" s="12"/>
      <c r="AG185" s="12">
        <v>0</v>
      </c>
    </row>
    <row r="186" spans="1:33" ht="35.1" customHeight="1" thickBot="1">
      <c r="A186" s="16" t="s">
        <v>297</v>
      </c>
      <c r="B186" s="17">
        <v>2553</v>
      </c>
      <c r="C186" s="18"/>
      <c r="D186" s="19"/>
      <c r="E186" s="19"/>
      <c r="F186" s="19"/>
      <c r="G186" s="19"/>
      <c r="H186" s="19"/>
      <c r="I186" s="19"/>
      <c r="J186" s="19"/>
      <c r="K186" s="19"/>
      <c r="L186" s="19">
        <v>2</v>
      </c>
      <c r="M186" s="19"/>
      <c r="N186" s="19">
        <f>N187</f>
        <v>200</v>
      </c>
      <c r="O186" s="19">
        <f t="shared" ref="O186:AG186" si="84">O187</f>
        <v>0</v>
      </c>
      <c r="P186" s="19">
        <f t="shared" si="84"/>
        <v>0</v>
      </c>
      <c r="Q186" s="19">
        <f t="shared" si="84"/>
        <v>0</v>
      </c>
      <c r="R186" s="19">
        <f t="shared" si="84"/>
        <v>200</v>
      </c>
      <c r="S186" s="19">
        <f t="shared" si="84"/>
        <v>200</v>
      </c>
      <c r="T186" s="19">
        <f t="shared" si="84"/>
        <v>0</v>
      </c>
      <c r="U186" s="19">
        <f t="shared" si="84"/>
        <v>0</v>
      </c>
      <c r="V186" s="19">
        <f t="shared" si="84"/>
        <v>0</v>
      </c>
      <c r="W186" s="19">
        <f t="shared" si="84"/>
        <v>200</v>
      </c>
      <c r="X186" s="19">
        <f t="shared" si="84"/>
        <v>200</v>
      </c>
      <c r="Y186" s="19">
        <f t="shared" si="84"/>
        <v>0</v>
      </c>
      <c r="Z186" s="19">
        <f t="shared" si="84"/>
        <v>0</v>
      </c>
      <c r="AA186" s="19">
        <f t="shared" si="84"/>
        <v>0</v>
      </c>
      <c r="AB186" s="19">
        <f t="shared" si="84"/>
        <v>200</v>
      </c>
      <c r="AC186" s="19">
        <f t="shared" si="84"/>
        <v>200</v>
      </c>
      <c r="AD186" s="19">
        <f t="shared" si="84"/>
        <v>0</v>
      </c>
      <c r="AE186" s="19">
        <f t="shared" si="84"/>
        <v>0</v>
      </c>
      <c r="AF186" s="19">
        <f t="shared" si="84"/>
        <v>0</v>
      </c>
      <c r="AG186" s="19">
        <f t="shared" si="84"/>
        <v>200</v>
      </c>
    </row>
    <row r="187" spans="1:33" ht="35.1" customHeight="1" thickBot="1">
      <c r="A187" s="13"/>
      <c r="B187" s="28"/>
      <c r="C187" s="22" t="s">
        <v>298</v>
      </c>
      <c r="D187" s="22" t="s">
        <v>299</v>
      </c>
      <c r="E187" s="22" t="s">
        <v>48</v>
      </c>
      <c r="F187" s="23" t="s">
        <v>300</v>
      </c>
      <c r="G187" s="39" t="s">
        <v>71</v>
      </c>
      <c r="H187" s="39" t="s">
        <v>644</v>
      </c>
      <c r="I187" s="145" t="s">
        <v>813</v>
      </c>
      <c r="J187" s="152" t="s">
        <v>71</v>
      </c>
      <c r="K187" s="170">
        <v>45658</v>
      </c>
      <c r="L187" s="12"/>
      <c r="M187" s="23" t="s">
        <v>301</v>
      </c>
      <c r="N187" s="12">
        <f>O187+P187+R187</f>
        <v>200</v>
      </c>
      <c r="O187" s="12"/>
      <c r="P187" s="12">
        <v>0</v>
      </c>
      <c r="Q187" s="12"/>
      <c r="R187" s="12">
        <v>200</v>
      </c>
      <c r="S187" s="12">
        <f>T187+U187+W187</f>
        <v>200</v>
      </c>
      <c r="T187" s="12"/>
      <c r="U187" s="12"/>
      <c r="V187" s="12"/>
      <c r="W187" s="12">
        <v>200</v>
      </c>
      <c r="X187" s="12">
        <f t="shared" ref="X187" si="85">Y187+Z187+AA187+AB187</f>
        <v>200</v>
      </c>
      <c r="Y187" s="12"/>
      <c r="Z187" s="12"/>
      <c r="AA187" s="12"/>
      <c r="AB187" s="12">
        <v>200</v>
      </c>
      <c r="AC187" s="12">
        <f t="shared" ref="AC187" si="86">AD187+AE187+AF187+AG187</f>
        <v>200</v>
      </c>
      <c r="AD187" s="12"/>
      <c r="AE187" s="12"/>
      <c r="AF187" s="12"/>
      <c r="AG187" s="12">
        <v>200</v>
      </c>
    </row>
    <row r="188" spans="1:33" ht="35.1" customHeight="1" thickBot="1">
      <c r="A188" s="16" t="s">
        <v>302</v>
      </c>
      <c r="B188" s="17">
        <v>2555</v>
      </c>
      <c r="C188" s="18"/>
      <c r="D188" s="19"/>
      <c r="E188" s="19"/>
      <c r="F188" s="19"/>
      <c r="G188" s="19"/>
      <c r="H188" s="19"/>
      <c r="I188" s="19"/>
      <c r="J188" s="19"/>
      <c r="K188" s="19"/>
      <c r="L188" s="19">
        <v>6</v>
      </c>
      <c r="M188" s="19"/>
      <c r="N188" s="19">
        <f>N189+N190+N191+N192+N193</f>
        <v>24485.800000000003</v>
      </c>
      <c r="O188" s="19">
        <f t="shared" ref="O188:AG188" si="87">O189+O190+O191+O192+O193</f>
        <v>0</v>
      </c>
      <c r="P188" s="19">
        <f t="shared" si="87"/>
        <v>2558.1</v>
      </c>
      <c r="Q188" s="19">
        <f t="shared" si="87"/>
        <v>0</v>
      </c>
      <c r="R188" s="19">
        <f t="shared" si="87"/>
        <v>21927.7</v>
      </c>
      <c r="S188" s="19">
        <f t="shared" si="87"/>
        <v>19305.100000000002</v>
      </c>
      <c r="T188" s="19">
        <f t="shared" si="87"/>
        <v>0</v>
      </c>
      <c r="U188" s="19">
        <f t="shared" si="87"/>
        <v>909.9</v>
      </c>
      <c r="V188" s="19">
        <f t="shared" si="87"/>
        <v>0</v>
      </c>
      <c r="W188" s="19">
        <f t="shared" si="87"/>
        <v>18395.2</v>
      </c>
      <c r="X188" s="19">
        <f t="shared" si="87"/>
        <v>19305.100000000002</v>
      </c>
      <c r="Y188" s="19">
        <f t="shared" si="87"/>
        <v>0</v>
      </c>
      <c r="Z188" s="19">
        <f t="shared" si="87"/>
        <v>909.9</v>
      </c>
      <c r="AA188" s="19">
        <f t="shared" si="87"/>
        <v>0</v>
      </c>
      <c r="AB188" s="19">
        <f t="shared" si="87"/>
        <v>18395.2</v>
      </c>
      <c r="AC188" s="19">
        <f t="shared" si="87"/>
        <v>19305.100000000002</v>
      </c>
      <c r="AD188" s="19">
        <f t="shared" si="87"/>
        <v>0</v>
      </c>
      <c r="AE188" s="19">
        <f t="shared" si="87"/>
        <v>909.9</v>
      </c>
      <c r="AF188" s="19">
        <f t="shared" si="87"/>
        <v>0</v>
      </c>
      <c r="AG188" s="19">
        <f t="shared" si="87"/>
        <v>18395.2</v>
      </c>
    </row>
    <row r="189" spans="1:33" ht="35.1" customHeight="1" thickBot="1">
      <c r="A189" s="13"/>
      <c r="B189" s="21"/>
      <c r="C189" s="194"/>
      <c r="D189" s="194"/>
      <c r="E189" s="194"/>
      <c r="F189" s="25" t="s">
        <v>303</v>
      </c>
      <c r="G189" s="194" t="s">
        <v>111</v>
      </c>
      <c r="H189" s="194" t="s">
        <v>112</v>
      </c>
      <c r="I189" s="62" t="s">
        <v>639</v>
      </c>
      <c r="J189" s="39" t="s">
        <v>670</v>
      </c>
      <c r="K189" s="166" t="s">
        <v>640</v>
      </c>
      <c r="L189" s="12"/>
      <c r="M189" s="23" t="s">
        <v>307</v>
      </c>
      <c r="N189" s="12">
        <f t="shared" ref="N189:N193" si="88">O189+P189+Q189+R189</f>
        <v>4761</v>
      </c>
      <c r="O189" s="12"/>
      <c r="P189" s="12"/>
      <c r="Q189" s="12"/>
      <c r="R189" s="12">
        <f>1416.5+3344.5</f>
        <v>4761</v>
      </c>
      <c r="S189" s="12">
        <f t="shared" ref="S189:S193" si="89">T189+U189+V189+W189</f>
        <v>1416.5</v>
      </c>
      <c r="T189" s="12"/>
      <c r="U189" s="12"/>
      <c r="V189" s="12"/>
      <c r="W189" s="12">
        <v>1416.5</v>
      </c>
      <c r="X189" s="12">
        <f t="shared" ref="X189:X193" si="90">Y189+Z189+AA189+AB189</f>
        <v>1416.5</v>
      </c>
      <c r="Y189" s="12"/>
      <c r="Z189" s="12"/>
      <c r="AA189" s="12"/>
      <c r="AB189" s="12">
        <v>1416.5</v>
      </c>
      <c r="AC189" s="12">
        <f t="shared" ref="AC189:AC193" si="91">AD189+AE189+AF189+AG189</f>
        <v>1416.5</v>
      </c>
      <c r="AD189" s="12"/>
      <c r="AE189" s="12"/>
      <c r="AF189" s="12"/>
      <c r="AG189" s="12">
        <v>1416.5</v>
      </c>
    </row>
    <row r="190" spans="1:33" ht="35.1" customHeight="1" thickBot="1">
      <c r="A190" s="13"/>
      <c r="B190" s="21"/>
      <c r="C190" s="194" t="s">
        <v>233</v>
      </c>
      <c r="D190" s="194" t="s">
        <v>255</v>
      </c>
      <c r="E190" s="194" t="s">
        <v>256</v>
      </c>
      <c r="F190" s="22" t="s">
        <v>304</v>
      </c>
      <c r="G190" s="22" t="s">
        <v>305</v>
      </c>
      <c r="H190" s="22" t="s">
        <v>306</v>
      </c>
      <c r="I190" s="194" t="s">
        <v>645</v>
      </c>
      <c r="J190" s="194" t="s">
        <v>111</v>
      </c>
      <c r="K190" s="7" t="s">
        <v>662</v>
      </c>
      <c r="L190" s="12"/>
      <c r="M190" s="23" t="s">
        <v>308</v>
      </c>
      <c r="N190" s="12">
        <f t="shared" si="88"/>
        <v>1463.7</v>
      </c>
      <c r="O190" s="12"/>
      <c r="P190" s="12"/>
      <c r="Q190" s="12"/>
      <c r="R190" s="12">
        <v>1463.7</v>
      </c>
      <c r="S190" s="12">
        <f t="shared" si="89"/>
        <v>1463.7</v>
      </c>
      <c r="T190" s="12"/>
      <c r="U190" s="12"/>
      <c r="V190" s="12"/>
      <c r="W190" s="12">
        <v>1463.7</v>
      </c>
      <c r="X190" s="12">
        <f t="shared" si="90"/>
        <v>1463.7</v>
      </c>
      <c r="Y190" s="12"/>
      <c r="Z190" s="12"/>
      <c r="AA190" s="12"/>
      <c r="AB190" s="12">
        <v>1463.7</v>
      </c>
      <c r="AC190" s="12">
        <f t="shared" si="91"/>
        <v>1463.7</v>
      </c>
      <c r="AD190" s="12"/>
      <c r="AE190" s="12"/>
      <c r="AF190" s="12"/>
      <c r="AG190" s="12">
        <v>1463.7</v>
      </c>
    </row>
    <row r="191" spans="1:33" ht="35.1" customHeight="1" thickBot="1">
      <c r="A191" s="13"/>
      <c r="B191" s="21"/>
      <c r="C191" s="194"/>
      <c r="D191" s="194"/>
      <c r="E191" s="194"/>
      <c r="F191" s="194" t="s">
        <v>629</v>
      </c>
      <c r="G191" s="39" t="s">
        <v>71</v>
      </c>
      <c r="H191" s="166" t="s">
        <v>630</v>
      </c>
      <c r="I191" s="60"/>
      <c r="J191" s="194"/>
      <c r="K191" s="7"/>
      <c r="L191" s="12"/>
      <c r="M191" s="23" t="s">
        <v>309</v>
      </c>
      <c r="N191" s="12">
        <f t="shared" si="88"/>
        <v>17163.2</v>
      </c>
      <c r="O191" s="12"/>
      <c r="P191" s="12">
        <v>1648.2</v>
      </c>
      <c r="Q191" s="12"/>
      <c r="R191" s="12">
        <f>15515</f>
        <v>15515</v>
      </c>
      <c r="S191" s="12">
        <f t="shared" si="89"/>
        <v>15515</v>
      </c>
      <c r="T191" s="12"/>
      <c r="U191" s="12"/>
      <c r="V191" s="12"/>
      <c r="W191" s="12">
        <v>15515</v>
      </c>
      <c r="X191" s="12">
        <f t="shared" si="90"/>
        <v>15515</v>
      </c>
      <c r="Y191" s="12"/>
      <c r="Z191" s="12"/>
      <c r="AA191" s="12"/>
      <c r="AB191" s="12">
        <v>15515</v>
      </c>
      <c r="AC191" s="12">
        <f t="shared" si="91"/>
        <v>15515</v>
      </c>
      <c r="AD191" s="12"/>
      <c r="AE191" s="12"/>
      <c r="AF191" s="12"/>
      <c r="AG191" s="12">
        <v>15515</v>
      </c>
    </row>
    <row r="192" spans="1:33" ht="35.1" customHeight="1" thickBot="1">
      <c r="A192" s="13"/>
      <c r="B192" s="21"/>
      <c r="C192" s="194"/>
      <c r="D192" s="194"/>
      <c r="E192" s="194"/>
      <c r="F192" s="194"/>
      <c r="G192" s="194"/>
      <c r="H192" s="194"/>
      <c r="I192" s="194" t="s">
        <v>835</v>
      </c>
      <c r="J192" s="194"/>
      <c r="K192" s="7"/>
      <c r="L192" s="12"/>
      <c r="M192" s="23" t="s">
        <v>310</v>
      </c>
      <c r="N192" s="12">
        <f t="shared" si="88"/>
        <v>14</v>
      </c>
      <c r="O192" s="12"/>
      <c r="P192" s="12"/>
      <c r="Q192" s="12"/>
      <c r="R192" s="12">
        <v>14</v>
      </c>
      <c r="S192" s="12">
        <f t="shared" si="89"/>
        <v>0</v>
      </c>
      <c r="T192" s="12"/>
      <c r="U192" s="12"/>
      <c r="V192" s="12"/>
      <c r="W192" s="12"/>
      <c r="X192" s="12">
        <f t="shared" si="90"/>
        <v>0</v>
      </c>
      <c r="Y192" s="12"/>
      <c r="Z192" s="12"/>
      <c r="AA192" s="12"/>
      <c r="AB192" s="12"/>
      <c r="AC192" s="12">
        <f t="shared" si="91"/>
        <v>0</v>
      </c>
      <c r="AD192" s="12"/>
      <c r="AE192" s="12"/>
      <c r="AF192" s="12"/>
      <c r="AG192" s="12"/>
    </row>
    <row r="193" spans="1:33" ht="35.1" customHeight="1">
      <c r="A193" s="14"/>
      <c r="B193" s="36"/>
      <c r="C193" s="194"/>
      <c r="D193" s="194"/>
      <c r="E193" s="194"/>
      <c r="F193" s="194"/>
      <c r="G193" s="194"/>
      <c r="H193" s="194"/>
      <c r="I193" s="194" t="s">
        <v>836</v>
      </c>
      <c r="J193" s="194" t="s">
        <v>71</v>
      </c>
      <c r="K193" s="7" t="s">
        <v>837</v>
      </c>
      <c r="L193" s="12"/>
      <c r="M193" s="23" t="s">
        <v>311</v>
      </c>
      <c r="N193" s="12">
        <f t="shared" si="88"/>
        <v>1083.9000000000001</v>
      </c>
      <c r="O193" s="12"/>
      <c r="P193" s="12">
        <v>909.9</v>
      </c>
      <c r="Q193" s="12"/>
      <c r="R193" s="12">
        <v>174</v>
      </c>
      <c r="S193" s="12">
        <f t="shared" si="89"/>
        <v>909.9</v>
      </c>
      <c r="T193" s="12"/>
      <c r="U193" s="12">
        <v>909.9</v>
      </c>
      <c r="V193" s="12"/>
      <c r="W193" s="12">
        <v>0</v>
      </c>
      <c r="X193" s="12">
        <f t="shared" si="90"/>
        <v>909.9</v>
      </c>
      <c r="Y193" s="12"/>
      <c r="Z193" s="12">
        <v>909.9</v>
      </c>
      <c r="AA193" s="12"/>
      <c r="AB193" s="12">
        <v>0</v>
      </c>
      <c r="AC193" s="12">
        <f t="shared" si="91"/>
        <v>909.9</v>
      </c>
      <c r="AD193" s="12"/>
      <c r="AE193" s="12">
        <v>909.9</v>
      </c>
      <c r="AF193" s="12"/>
      <c r="AG193" s="12">
        <v>0</v>
      </c>
    </row>
    <row r="194" spans="1:33" ht="35.1" customHeight="1">
      <c r="A194" s="51" t="s">
        <v>312</v>
      </c>
      <c r="B194" s="38">
        <v>2557</v>
      </c>
      <c r="C194" s="18"/>
      <c r="D194" s="19"/>
      <c r="E194" s="19"/>
      <c r="F194" s="19"/>
      <c r="G194" s="19"/>
      <c r="H194" s="19"/>
      <c r="I194" s="19"/>
      <c r="J194" s="19"/>
      <c r="K194" s="19"/>
      <c r="L194" s="19">
        <v>23</v>
      </c>
      <c r="M194" s="19"/>
      <c r="N194" s="19">
        <f t="shared" ref="N194:AG194" si="92">N195</f>
        <v>50</v>
      </c>
      <c r="O194" s="19">
        <f t="shared" si="92"/>
        <v>0</v>
      </c>
      <c r="P194" s="19">
        <f t="shared" si="92"/>
        <v>0</v>
      </c>
      <c r="Q194" s="19">
        <f t="shared" si="92"/>
        <v>0</v>
      </c>
      <c r="R194" s="19">
        <f t="shared" si="92"/>
        <v>50</v>
      </c>
      <c r="S194" s="19">
        <f t="shared" si="92"/>
        <v>50</v>
      </c>
      <c r="T194" s="19">
        <f t="shared" si="92"/>
        <v>0</v>
      </c>
      <c r="U194" s="19">
        <f t="shared" si="92"/>
        <v>0</v>
      </c>
      <c r="V194" s="19">
        <f t="shared" si="92"/>
        <v>0</v>
      </c>
      <c r="W194" s="19">
        <f t="shared" si="92"/>
        <v>50</v>
      </c>
      <c r="X194" s="19">
        <f t="shared" si="92"/>
        <v>50</v>
      </c>
      <c r="Y194" s="19">
        <f t="shared" si="92"/>
        <v>0</v>
      </c>
      <c r="Z194" s="19">
        <f t="shared" si="92"/>
        <v>0</v>
      </c>
      <c r="AA194" s="19">
        <f t="shared" si="92"/>
        <v>0</v>
      </c>
      <c r="AB194" s="19">
        <f t="shared" si="92"/>
        <v>50</v>
      </c>
      <c r="AC194" s="19">
        <f t="shared" si="92"/>
        <v>50</v>
      </c>
      <c r="AD194" s="19">
        <f t="shared" si="92"/>
        <v>0</v>
      </c>
      <c r="AE194" s="19">
        <f t="shared" si="92"/>
        <v>0</v>
      </c>
      <c r="AF194" s="19">
        <f t="shared" si="92"/>
        <v>0</v>
      </c>
      <c r="AG194" s="19">
        <f t="shared" si="92"/>
        <v>50</v>
      </c>
    </row>
    <row r="195" spans="1:33" ht="35.1" customHeight="1">
      <c r="A195" s="35"/>
      <c r="B195" s="24"/>
      <c r="C195" s="39" t="s">
        <v>76</v>
      </c>
      <c r="D195" s="23" t="s">
        <v>313</v>
      </c>
      <c r="E195" s="23" t="s">
        <v>78</v>
      </c>
      <c r="F195" s="23"/>
      <c r="G195" s="23"/>
      <c r="H195" s="23"/>
      <c r="I195" s="62" t="s">
        <v>639</v>
      </c>
      <c r="J195" s="39" t="s">
        <v>756</v>
      </c>
      <c r="K195" s="166" t="s">
        <v>640</v>
      </c>
      <c r="L195" s="12"/>
      <c r="M195" s="23" t="s">
        <v>314</v>
      </c>
      <c r="N195" s="12">
        <f>R195</f>
        <v>50</v>
      </c>
      <c r="O195" s="12"/>
      <c r="P195" s="12"/>
      <c r="Q195" s="12"/>
      <c r="R195" s="12">
        <v>50</v>
      </c>
      <c r="S195" s="12">
        <f>W195</f>
        <v>50</v>
      </c>
      <c r="T195" s="12"/>
      <c r="U195" s="12"/>
      <c r="V195" s="12"/>
      <c r="W195" s="12">
        <v>50</v>
      </c>
      <c r="X195" s="12">
        <f>AB195</f>
        <v>50</v>
      </c>
      <c r="Y195" s="12"/>
      <c r="Z195" s="12"/>
      <c r="AA195" s="12"/>
      <c r="AB195" s="12">
        <v>50</v>
      </c>
      <c r="AC195" s="12">
        <f>AG195</f>
        <v>50</v>
      </c>
      <c r="AD195" s="12"/>
      <c r="AE195" s="12"/>
      <c r="AF195" s="12"/>
      <c r="AG195" s="12">
        <v>50</v>
      </c>
    </row>
    <row r="196" spans="1:33" ht="35.1" customHeight="1">
      <c r="A196" s="35"/>
      <c r="B196" s="24"/>
      <c r="C196" s="23" t="s">
        <v>833</v>
      </c>
      <c r="D196" s="23" t="s">
        <v>71</v>
      </c>
      <c r="E196" s="23" t="s">
        <v>834</v>
      </c>
      <c r="F196" s="23"/>
      <c r="G196" s="23"/>
      <c r="H196" s="23"/>
      <c r="I196" s="25" t="s">
        <v>831</v>
      </c>
      <c r="J196" s="62" t="s">
        <v>71</v>
      </c>
      <c r="K196" s="220" t="s">
        <v>832</v>
      </c>
      <c r="L196" s="12"/>
      <c r="M196" s="23"/>
      <c r="N196" s="12"/>
      <c r="O196" s="12"/>
      <c r="P196" s="12"/>
      <c r="Q196" s="12"/>
      <c r="R196" s="12"/>
      <c r="S196" s="12"/>
      <c r="T196" s="12"/>
      <c r="U196" s="12"/>
      <c r="V196" s="12"/>
      <c r="W196" s="12"/>
      <c r="X196" s="12"/>
      <c r="Y196" s="12"/>
      <c r="Z196" s="12"/>
      <c r="AA196" s="12"/>
      <c r="AB196" s="12"/>
      <c r="AC196" s="12"/>
      <c r="AD196" s="12"/>
      <c r="AE196" s="12"/>
      <c r="AF196" s="12"/>
      <c r="AG196" s="12"/>
    </row>
    <row r="197" spans="1:33" ht="35.1" customHeight="1">
      <c r="A197" s="75" t="s">
        <v>315</v>
      </c>
      <c r="B197" s="9">
        <v>2600</v>
      </c>
      <c r="C197" s="9" t="s">
        <v>17</v>
      </c>
      <c r="D197" s="9" t="s">
        <v>17</v>
      </c>
      <c r="E197" s="9" t="s">
        <v>17</v>
      </c>
      <c r="F197" s="9"/>
      <c r="G197" s="9"/>
      <c r="H197" s="9"/>
      <c r="I197" s="9" t="s">
        <v>17</v>
      </c>
      <c r="J197" s="9" t="s">
        <v>17</v>
      </c>
      <c r="K197" s="9" t="s">
        <v>17</v>
      </c>
      <c r="L197" s="9" t="s">
        <v>17</v>
      </c>
      <c r="M197" s="9" t="s">
        <v>17</v>
      </c>
      <c r="N197" s="19">
        <f t="shared" ref="N197:AG197" si="93">N199+N233+N257+N259+N273+N270+N276+N279</f>
        <v>224397.00000000003</v>
      </c>
      <c r="O197" s="19">
        <f t="shared" si="93"/>
        <v>13247.9</v>
      </c>
      <c r="P197" s="19">
        <f t="shared" si="93"/>
        <v>26421.7</v>
      </c>
      <c r="Q197" s="19">
        <f t="shared" si="93"/>
        <v>0</v>
      </c>
      <c r="R197" s="19">
        <f t="shared" si="93"/>
        <v>184727.40000000002</v>
      </c>
      <c r="S197" s="19">
        <f t="shared" si="93"/>
        <v>189518.2</v>
      </c>
      <c r="T197" s="19">
        <f t="shared" si="93"/>
        <v>12340.2</v>
      </c>
      <c r="U197" s="19">
        <f t="shared" si="93"/>
        <v>9343.6</v>
      </c>
      <c r="V197" s="19">
        <f t="shared" si="93"/>
        <v>0</v>
      </c>
      <c r="W197" s="19">
        <f t="shared" si="93"/>
        <v>167834.4</v>
      </c>
      <c r="X197" s="19">
        <f t="shared" si="93"/>
        <v>188780.7</v>
      </c>
      <c r="Y197" s="19">
        <f t="shared" si="93"/>
        <v>11312.300000000001</v>
      </c>
      <c r="Z197" s="19">
        <f t="shared" si="93"/>
        <v>9634.7000000000007</v>
      </c>
      <c r="AA197" s="19">
        <f t="shared" si="93"/>
        <v>0</v>
      </c>
      <c r="AB197" s="19">
        <f t="shared" si="93"/>
        <v>167833.7</v>
      </c>
      <c r="AC197" s="19">
        <f t="shared" si="93"/>
        <v>188780.7</v>
      </c>
      <c r="AD197" s="19">
        <f t="shared" si="93"/>
        <v>11312.300000000001</v>
      </c>
      <c r="AE197" s="19">
        <f t="shared" si="93"/>
        <v>9634.7000000000007</v>
      </c>
      <c r="AF197" s="19">
        <f t="shared" si="93"/>
        <v>0</v>
      </c>
      <c r="AG197" s="19">
        <f t="shared" si="93"/>
        <v>167833.7</v>
      </c>
    </row>
    <row r="198" spans="1:33" ht="35.1" customHeight="1">
      <c r="A198" s="10" t="s">
        <v>19</v>
      </c>
      <c r="B198" s="149">
        <v>2601</v>
      </c>
      <c r="C198" s="11"/>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35.1" customHeight="1" thickBot="1">
      <c r="A199" s="16" t="s">
        <v>316</v>
      </c>
      <c r="B199" s="76"/>
      <c r="C199" s="18"/>
      <c r="D199" s="19"/>
      <c r="E199" s="19"/>
      <c r="F199" s="19"/>
      <c r="G199" s="19"/>
      <c r="H199" s="19"/>
      <c r="I199" s="19"/>
      <c r="J199" s="19"/>
      <c r="K199" s="19"/>
      <c r="L199" s="19">
        <v>1</v>
      </c>
      <c r="M199" s="19"/>
      <c r="N199" s="19">
        <f>N200+N202+N203+N204+N205+N206+N208+N210+N211+N212+N213+N214+N215+N217+N218+N219+N221+N222+N224+N225+N227+N228+N229+N231+N232+N201+N209+N220+N216+N223+N226+N230+N207</f>
        <v>55530.9</v>
      </c>
      <c r="O199" s="19">
        <f t="shared" ref="O199:AG199" si="94">O200+O202+O203+O204+O205+O206+O208+O210+O211+O212+O213+O214+O215+O217+O218+O219+O221+O222+O224+O225+O227+O228+O229+O231+O232+O201+O209+O220+O216+O223+O226+O230+O207</f>
        <v>0</v>
      </c>
      <c r="P199" s="19">
        <f t="shared" si="94"/>
        <v>2991.5</v>
      </c>
      <c r="Q199" s="19">
        <f t="shared" si="94"/>
        <v>0</v>
      </c>
      <c r="R199" s="19">
        <f t="shared" si="94"/>
        <v>52539.4</v>
      </c>
      <c r="S199" s="19">
        <f t="shared" si="94"/>
        <v>46574.400000000009</v>
      </c>
      <c r="T199" s="19">
        <f t="shared" si="94"/>
        <v>0</v>
      </c>
      <c r="U199" s="19">
        <f t="shared" si="94"/>
        <v>0</v>
      </c>
      <c r="V199" s="19">
        <f t="shared" si="94"/>
        <v>0</v>
      </c>
      <c r="W199" s="19">
        <f t="shared" si="94"/>
        <v>46574.400000000009</v>
      </c>
      <c r="X199" s="19">
        <f t="shared" si="94"/>
        <v>46574.400000000009</v>
      </c>
      <c r="Y199" s="19">
        <f t="shared" si="94"/>
        <v>0</v>
      </c>
      <c r="Z199" s="19">
        <f t="shared" si="94"/>
        <v>0</v>
      </c>
      <c r="AA199" s="19">
        <f t="shared" si="94"/>
        <v>0</v>
      </c>
      <c r="AB199" s="19">
        <f t="shared" si="94"/>
        <v>46574.400000000009</v>
      </c>
      <c r="AC199" s="19">
        <f t="shared" si="94"/>
        <v>46574.400000000009</v>
      </c>
      <c r="AD199" s="19">
        <f t="shared" si="94"/>
        <v>0</v>
      </c>
      <c r="AE199" s="19">
        <f t="shared" si="94"/>
        <v>0</v>
      </c>
      <c r="AF199" s="19">
        <f t="shared" si="94"/>
        <v>0</v>
      </c>
      <c r="AG199" s="19">
        <f t="shared" si="94"/>
        <v>46574.400000000009</v>
      </c>
    </row>
    <row r="200" spans="1:33" ht="35.1" customHeight="1" thickBot="1">
      <c r="A200" s="46"/>
      <c r="B200" s="156"/>
      <c r="C200" s="189" t="s">
        <v>636</v>
      </c>
      <c r="D200" s="189" t="s">
        <v>637</v>
      </c>
      <c r="E200" s="189" t="s">
        <v>638</v>
      </c>
      <c r="F200" s="193" t="s">
        <v>317</v>
      </c>
      <c r="G200" s="151" t="s">
        <v>27</v>
      </c>
      <c r="H200" s="145" t="s">
        <v>28</v>
      </c>
      <c r="I200" s="39" t="s">
        <v>639</v>
      </c>
      <c r="J200" s="39" t="s">
        <v>649</v>
      </c>
      <c r="K200" s="166" t="s">
        <v>640</v>
      </c>
      <c r="L200" s="12"/>
      <c r="M200" s="23" t="s">
        <v>318</v>
      </c>
      <c r="N200" s="12">
        <f t="shared" ref="N200:N232" si="95">O200+P200+Q200+R200</f>
        <v>280.70000000000005</v>
      </c>
      <c r="O200" s="12"/>
      <c r="P200" s="12">
        <v>20.100000000000001</v>
      </c>
      <c r="Q200" s="12"/>
      <c r="R200" s="12">
        <f>246+14.6</f>
        <v>260.60000000000002</v>
      </c>
      <c r="S200" s="12">
        <f t="shared" ref="S200:S205" si="96">T200+U200+V200+W200</f>
        <v>246</v>
      </c>
      <c r="T200" s="12"/>
      <c r="U200" s="12"/>
      <c r="V200" s="12"/>
      <c r="W200" s="12">
        <v>246</v>
      </c>
      <c r="X200" s="12">
        <f t="shared" ref="X200:X214" si="97">Y200+Z200+AA200+AB200</f>
        <v>246</v>
      </c>
      <c r="Y200" s="12"/>
      <c r="Z200" s="12"/>
      <c r="AA200" s="12"/>
      <c r="AB200" s="12">
        <v>246</v>
      </c>
      <c r="AC200" s="12">
        <f>AD200+AE200+AF200+AG200</f>
        <v>246</v>
      </c>
      <c r="AD200" s="12"/>
      <c r="AE200" s="12"/>
      <c r="AF200" s="12"/>
      <c r="AG200" s="12">
        <v>246</v>
      </c>
    </row>
    <row r="201" spans="1:33" ht="35.1" customHeight="1" thickBot="1">
      <c r="A201" s="46"/>
      <c r="B201" s="156"/>
      <c r="C201" s="39" t="s">
        <v>324</v>
      </c>
      <c r="D201" s="29" t="s">
        <v>27</v>
      </c>
      <c r="E201" s="198" t="s">
        <v>325</v>
      </c>
      <c r="F201" s="39" t="s">
        <v>326</v>
      </c>
      <c r="G201" s="27" t="s">
        <v>27</v>
      </c>
      <c r="H201" s="22" t="s">
        <v>48</v>
      </c>
      <c r="I201" s="39"/>
      <c r="J201" s="39"/>
      <c r="K201" s="166"/>
      <c r="L201" s="12"/>
      <c r="M201" s="23" t="s">
        <v>319</v>
      </c>
      <c r="N201" s="12">
        <f t="shared" si="95"/>
        <v>59.5</v>
      </c>
      <c r="O201" s="12"/>
      <c r="P201" s="12">
        <f>48.2+11.3</f>
        <v>59.5</v>
      </c>
      <c r="Q201" s="12"/>
      <c r="R201" s="12"/>
      <c r="S201" s="12">
        <v>0</v>
      </c>
      <c r="T201" s="12"/>
      <c r="U201" s="12">
        <v>0</v>
      </c>
      <c r="V201" s="12"/>
      <c r="W201" s="12"/>
      <c r="X201" s="12">
        <v>0</v>
      </c>
      <c r="Y201" s="12"/>
      <c r="Z201" s="12">
        <v>0</v>
      </c>
      <c r="AA201" s="12"/>
      <c r="AB201" s="12"/>
      <c r="AC201" s="12">
        <v>0</v>
      </c>
      <c r="AD201" s="12"/>
      <c r="AE201" s="12">
        <v>0</v>
      </c>
      <c r="AF201" s="12"/>
      <c r="AG201" s="12"/>
    </row>
    <row r="202" spans="1:33" ht="35.1" customHeight="1" thickBot="1">
      <c r="A202" s="46"/>
      <c r="B202" s="156"/>
      <c r="C202" s="221"/>
      <c r="D202" s="194"/>
      <c r="E202" s="194"/>
      <c r="F202" s="222"/>
      <c r="G202" s="223"/>
      <c r="H202" s="223"/>
      <c r="I202" s="194"/>
      <c r="J202" s="15"/>
      <c r="K202" s="224"/>
      <c r="L202" s="12"/>
      <c r="M202" s="23" t="s">
        <v>320</v>
      </c>
      <c r="N202" s="12">
        <f t="shared" si="95"/>
        <v>1624.8999999999999</v>
      </c>
      <c r="O202" s="12"/>
      <c r="P202" s="12"/>
      <c r="Q202" s="12"/>
      <c r="R202" s="12">
        <f>1227.1+397.8</f>
        <v>1624.8999999999999</v>
      </c>
      <c r="S202" s="12">
        <f t="shared" si="96"/>
        <v>1227.0999999999999</v>
      </c>
      <c r="T202" s="12"/>
      <c r="U202" s="12"/>
      <c r="V202" s="12"/>
      <c r="W202" s="12">
        <v>1227.0999999999999</v>
      </c>
      <c r="X202" s="12">
        <f t="shared" si="97"/>
        <v>1227.0999999999999</v>
      </c>
      <c r="Y202" s="12"/>
      <c r="Z202" s="12"/>
      <c r="AA202" s="12"/>
      <c r="AB202" s="12">
        <v>1227.0999999999999</v>
      </c>
      <c r="AC202" s="12">
        <f>AD202+AE202+AF202+AG202</f>
        <v>1227.0999999999999</v>
      </c>
      <c r="AD202" s="12"/>
      <c r="AE202" s="12"/>
      <c r="AF202" s="12"/>
      <c r="AG202" s="12">
        <v>1227.0999999999999</v>
      </c>
    </row>
    <row r="203" spans="1:33" ht="35.1" customHeight="1" thickBot="1">
      <c r="A203" s="46"/>
      <c r="B203" s="156"/>
      <c r="C203" s="221"/>
      <c r="D203" s="194"/>
      <c r="E203" s="194"/>
      <c r="F203" s="222"/>
      <c r="G203" s="223"/>
      <c r="H203" s="223"/>
      <c r="I203" s="194"/>
      <c r="J203" s="15"/>
      <c r="K203" s="224"/>
      <c r="L203" s="12"/>
      <c r="M203" s="23" t="s">
        <v>321</v>
      </c>
      <c r="N203" s="12">
        <f t="shared" si="95"/>
        <v>11.3</v>
      </c>
      <c r="O203" s="12"/>
      <c r="P203" s="12"/>
      <c r="Q203" s="12"/>
      <c r="R203" s="12">
        <v>11.3</v>
      </c>
      <c r="S203" s="12">
        <f t="shared" si="96"/>
        <v>11.3</v>
      </c>
      <c r="T203" s="12"/>
      <c r="U203" s="12"/>
      <c r="V203" s="12"/>
      <c r="W203" s="12">
        <v>11.3</v>
      </c>
      <c r="X203" s="12">
        <f t="shared" si="97"/>
        <v>11.3</v>
      </c>
      <c r="Y203" s="12"/>
      <c r="Z203" s="12"/>
      <c r="AA203" s="12"/>
      <c r="AB203" s="12">
        <v>11.3</v>
      </c>
      <c r="AC203" s="12">
        <f>AD203+AE203+AF203+AG203</f>
        <v>11.3</v>
      </c>
      <c r="AD203" s="12"/>
      <c r="AE203" s="12"/>
      <c r="AF203" s="12"/>
      <c r="AG203" s="12">
        <v>11.3</v>
      </c>
    </row>
    <row r="204" spans="1:33" ht="35.1" customHeight="1" thickBot="1">
      <c r="A204" s="46"/>
      <c r="B204" s="156"/>
      <c r="C204" s="221"/>
      <c r="D204" s="194"/>
      <c r="E204" s="194"/>
      <c r="F204" s="222"/>
      <c r="G204" s="223"/>
      <c r="H204" s="223"/>
      <c r="I204" s="194"/>
      <c r="J204" s="15"/>
      <c r="K204" s="224"/>
      <c r="L204" s="12"/>
      <c r="M204" s="23" t="s">
        <v>322</v>
      </c>
      <c r="N204" s="12">
        <f t="shared" si="95"/>
        <v>675</v>
      </c>
      <c r="O204" s="12"/>
      <c r="P204" s="12">
        <v>20.100000000000001</v>
      </c>
      <c r="Q204" s="12"/>
      <c r="R204" s="12">
        <f>575.3+79.6</f>
        <v>654.9</v>
      </c>
      <c r="S204" s="12">
        <f t="shared" si="96"/>
        <v>575.29999999999995</v>
      </c>
      <c r="T204" s="12"/>
      <c r="U204" s="12"/>
      <c r="V204" s="12"/>
      <c r="W204" s="12">
        <v>575.29999999999995</v>
      </c>
      <c r="X204" s="12">
        <f t="shared" si="97"/>
        <v>575.29999999999995</v>
      </c>
      <c r="Y204" s="12"/>
      <c r="Z204" s="12"/>
      <c r="AA204" s="12"/>
      <c r="AB204" s="12">
        <v>575.29999999999995</v>
      </c>
      <c r="AC204" s="12">
        <f t="shared" ref="AC204:AC211" si="98">AD204+AE204+AF204+AG204</f>
        <v>575.29999999999995</v>
      </c>
      <c r="AD204" s="12"/>
      <c r="AE204" s="12"/>
      <c r="AF204" s="12"/>
      <c r="AG204" s="12">
        <v>575.29999999999995</v>
      </c>
    </row>
    <row r="205" spans="1:33" ht="35.1" customHeight="1" thickBot="1">
      <c r="A205" s="46"/>
      <c r="B205" s="156"/>
      <c r="C205" s="221"/>
      <c r="D205" s="194"/>
      <c r="E205" s="194"/>
      <c r="F205" s="222"/>
      <c r="G205" s="223"/>
      <c r="H205" s="223"/>
      <c r="I205" s="194" t="s">
        <v>784</v>
      </c>
      <c r="J205" s="15" t="s">
        <v>71</v>
      </c>
      <c r="K205" s="59" t="s">
        <v>785</v>
      </c>
      <c r="L205" s="12"/>
      <c r="M205" s="23" t="s">
        <v>323</v>
      </c>
      <c r="N205" s="12">
        <f t="shared" si="95"/>
        <v>169.29999999999998</v>
      </c>
      <c r="O205" s="12"/>
      <c r="P205" s="12">
        <v>20.100000000000001</v>
      </c>
      <c r="Q205" s="12"/>
      <c r="R205" s="12">
        <f>146.6+2.6</f>
        <v>149.19999999999999</v>
      </c>
      <c r="S205" s="12">
        <f t="shared" si="96"/>
        <v>146.6</v>
      </c>
      <c r="T205" s="12"/>
      <c r="U205" s="12"/>
      <c r="V205" s="12"/>
      <c r="W205" s="12">
        <v>146.6</v>
      </c>
      <c r="X205" s="12">
        <f t="shared" si="97"/>
        <v>146.6</v>
      </c>
      <c r="Y205" s="12"/>
      <c r="Z205" s="12"/>
      <c r="AA205" s="12"/>
      <c r="AB205" s="12">
        <v>146.6</v>
      </c>
      <c r="AC205" s="12">
        <f t="shared" si="98"/>
        <v>146.6</v>
      </c>
      <c r="AD205" s="12"/>
      <c r="AE205" s="12"/>
      <c r="AF205" s="12"/>
      <c r="AG205" s="12">
        <v>146.6</v>
      </c>
    </row>
    <row r="206" spans="1:33" ht="35.1" customHeight="1" thickBot="1">
      <c r="A206" s="46"/>
      <c r="B206" s="156"/>
      <c r="C206" s="225"/>
      <c r="D206" s="223"/>
      <c r="E206" s="225"/>
      <c r="F206" s="194"/>
      <c r="G206" s="194"/>
      <c r="H206" s="194"/>
      <c r="I206" s="194"/>
      <c r="J206" s="194"/>
      <c r="K206" s="59"/>
      <c r="L206" s="12"/>
      <c r="M206" s="194" t="s">
        <v>330</v>
      </c>
      <c r="N206" s="12">
        <f t="shared" si="95"/>
        <v>1031.7</v>
      </c>
      <c r="O206" s="12"/>
      <c r="P206" s="12">
        <f>84.2-64.1</f>
        <v>20.100000000000009</v>
      </c>
      <c r="Q206" s="12"/>
      <c r="R206" s="12">
        <f>788.3+159.2+64.1</f>
        <v>1011.6</v>
      </c>
      <c r="S206" s="12">
        <f>T206+U206+V206+W206</f>
        <v>788.3</v>
      </c>
      <c r="T206" s="12"/>
      <c r="U206" s="12"/>
      <c r="V206" s="12"/>
      <c r="W206" s="12">
        <v>788.3</v>
      </c>
      <c r="X206" s="12">
        <f t="shared" si="97"/>
        <v>788.3</v>
      </c>
      <c r="Y206" s="12"/>
      <c r="Z206" s="12"/>
      <c r="AA206" s="12"/>
      <c r="AB206" s="12">
        <v>788.3</v>
      </c>
      <c r="AC206" s="12">
        <f t="shared" si="98"/>
        <v>788.3</v>
      </c>
      <c r="AD206" s="12"/>
      <c r="AE206" s="12"/>
      <c r="AF206" s="12"/>
      <c r="AG206" s="12">
        <v>788.3</v>
      </c>
    </row>
    <row r="207" spans="1:33" ht="35.1" customHeight="1" thickBot="1">
      <c r="A207" s="86"/>
      <c r="B207" s="15"/>
      <c r="C207" s="225"/>
      <c r="D207" s="223"/>
      <c r="E207" s="225"/>
      <c r="F207" s="194"/>
      <c r="G207" s="191"/>
      <c r="H207" s="191"/>
      <c r="I207" s="194"/>
      <c r="J207" s="194"/>
      <c r="K207" s="59"/>
      <c r="L207" s="12"/>
      <c r="M207" s="194" t="s">
        <v>618</v>
      </c>
      <c r="N207" s="12">
        <f t="shared" si="95"/>
        <v>64.099999999999994</v>
      </c>
      <c r="O207" s="12"/>
      <c r="P207" s="12">
        <v>64.099999999999994</v>
      </c>
      <c r="Q207" s="12"/>
      <c r="R207" s="12"/>
      <c r="S207" s="12">
        <v>0</v>
      </c>
      <c r="T207" s="12"/>
      <c r="U207" s="12"/>
      <c r="V207" s="12"/>
      <c r="W207" s="12">
        <v>0</v>
      </c>
      <c r="X207" s="12">
        <v>0</v>
      </c>
      <c r="Y207" s="12"/>
      <c r="Z207" s="12"/>
      <c r="AA207" s="12"/>
      <c r="AB207" s="12">
        <v>0</v>
      </c>
      <c r="AC207" s="12">
        <v>0</v>
      </c>
      <c r="AD207" s="12"/>
      <c r="AE207" s="12"/>
      <c r="AF207" s="12"/>
      <c r="AG207" s="12">
        <v>0</v>
      </c>
    </row>
    <row r="208" spans="1:33" ht="35.1" customHeight="1" thickBot="1">
      <c r="A208" s="86"/>
      <c r="B208" s="15"/>
      <c r="C208" s="225"/>
      <c r="D208" s="223"/>
      <c r="E208" s="225"/>
      <c r="F208" s="23"/>
      <c r="G208" s="11"/>
      <c r="H208" s="11"/>
      <c r="I208" s="194"/>
      <c r="J208" s="194"/>
      <c r="K208" s="59"/>
      <c r="L208" s="12"/>
      <c r="M208" s="194" t="s">
        <v>331</v>
      </c>
      <c r="N208" s="12">
        <f t="shared" si="95"/>
        <v>10350.700000000001</v>
      </c>
      <c r="O208" s="12"/>
      <c r="P208" s="12">
        <v>583.5</v>
      </c>
      <c r="Q208" s="12"/>
      <c r="R208" s="12">
        <f>9767.2</f>
        <v>9767.2000000000007</v>
      </c>
      <c r="S208" s="12">
        <f>T208+U208+V208+W208</f>
        <v>9767.2000000000007</v>
      </c>
      <c r="T208" s="12"/>
      <c r="U208" s="12"/>
      <c r="V208" s="12"/>
      <c r="W208" s="12">
        <v>9767.2000000000007</v>
      </c>
      <c r="X208" s="12">
        <f t="shared" si="97"/>
        <v>9767.2000000000007</v>
      </c>
      <c r="Y208" s="12"/>
      <c r="Z208" s="12"/>
      <c r="AA208" s="12"/>
      <c r="AB208" s="12">
        <v>9767.2000000000007</v>
      </c>
      <c r="AC208" s="12">
        <f t="shared" si="98"/>
        <v>9767.2000000000007</v>
      </c>
      <c r="AD208" s="12"/>
      <c r="AE208" s="12"/>
      <c r="AF208" s="12"/>
      <c r="AG208" s="12">
        <v>9767.2000000000007</v>
      </c>
    </row>
    <row r="209" spans="1:33" ht="35.1" customHeight="1" thickBot="1">
      <c r="A209" s="86"/>
      <c r="B209" s="15"/>
      <c r="C209" s="225"/>
      <c r="D209" s="223"/>
      <c r="E209" s="225"/>
      <c r="F209" s="23"/>
      <c r="G209" s="12"/>
      <c r="H209" s="12"/>
      <c r="I209" s="194"/>
      <c r="J209" s="194"/>
      <c r="K209" s="59"/>
      <c r="L209" s="12"/>
      <c r="M209" s="194" t="s">
        <v>332</v>
      </c>
      <c r="N209" s="12">
        <f t="shared" si="95"/>
        <v>747.3</v>
      </c>
      <c r="O209" s="12"/>
      <c r="P209" s="12">
        <v>747.3</v>
      </c>
      <c r="Q209" s="12"/>
      <c r="R209" s="12"/>
      <c r="S209" s="12">
        <v>0</v>
      </c>
      <c r="T209" s="12"/>
      <c r="U209" s="12">
        <v>0</v>
      </c>
      <c r="V209" s="12"/>
      <c r="W209" s="12"/>
      <c r="X209" s="12">
        <v>0</v>
      </c>
      <c r="Y209" s="12"/>
      <c r="Z209" s="12">
        <v>0</v>
      </c>
      <c r="AA209" s="12"/>
      <c r="AB209" s="12"/>
      <c r="AC209" s="12">
        <v>0</v>
      </c>
      <c r="AD209" s="12"/>
      <c r="AE209" s="12">
        <v>0</v>
      </c>
      <c r="AF209" s="12"/>
      <c r="AG209" s="12"/>
    </row>
    <row r="210" spans="1:33" ht="35.1" customHeight="1" thickBot="1">
      <c r="A210" s="86"/>
      <c r="B210" s="15"/>
      <c r="C210" s="225"/>
      <c r="D210" s="223"/>
      <c r="E210" s="225"/>
      <c r="F210" s="23"/>
      <c r="G210" s="12"/>
      <c r="H210" s="12"/>
      <c r="I210" s="23"/>
      <c r="J210" s="12"/>
      <c r="K210" s="12"/>
      <c r="L210" s="12"/>
      <c r="M210" s="23" t="s">
        <v>333</v>
      </c>
      <c r="N210" s="12">
        <f t="shared" si="95"/>
        <v>16708.100000000002</v>
      </c>
      <c r="O210" s="12"/>
      <c r="P210" s="12"/>
      <c r="Q210" s="12"/>
      <c r="R210" s="12">
        <f>13847.2+2860.9</f>
        <v>16708.100000000002</v>
      </c>
      <c r="S210" s="12">
        <f t="shared" ref="S210:S215" si="99">T210+U210+V210+W210</f>
        <v>13697.1</v>
      </c>
      <c r="T210" s="12"/>
      <c r="U210" s="12"/>
      <c r="V210" s="12"/>
      <c r="W210" s="12">
        <v>13697.1</v>
      </c>
      <c r="X210" s="12">
        <f t="shared" si="97"/>
        <v>13697.1</v>
      </c>
      <c r="Y210" s="12"/>
      <c r="Z210" s="12"/>
      <c r="AA210" s="12"/>
      <c r="AB210" s="12">
        <v>13697.1</v>
      </c>
      <c r="AC210" s="12">
        <f t="shared" si="98"/>
        <v>13697.1</v>
      </c>
      <c r="AD210" s="12"/>
      <c r="AE210" s="12"/>
      <c r="AF210" s="12"/>
      <c r="AG210" s="12">
        <v>13697.1</v>
      </c>
    </row>
    <row r="211" spans="1:33" ht="35.1" customHeight="1" thickBot="1">
      <c r="A211" s="86"/>
      <c r="B211" s="15"/>
      <c r="C211" s="225"/>
      <c r="D211" s="223"/>
      <c r="E211" s="225"/>
      <c r="F211" s="23"/>
      <c r="G211" s="12"/>
      <c r="H211" s="12"/>
      <c r="I211" s="23"/>
      <c r="J211" s="12"/>
      <c r="K211" s="12"/>
      <c r="L211" s="12"/>
      <c r="M211" s="23" t="s">
        <v>334</v>
      </c>
      <c r="N211" s="12">
        <f t="shared" si="95"/>
        <v>7500</v>
      </c>
      <c r="O211" s="12"/>
      <c r="P211" s="12"/>
      <c r="Q211" s="12"/>
      <c r="R211" s="12">
        <v>7500</v>
      </c>
      <c r="S211" s="12">
        <f t="shared" si="99"/>
        <v>7500</v>
      </c>
      <c r="T211" s="12"/>
      <c r="U211" s="12"/>
      <c r="V211" s="12"/>
      <c r="W211" s="12">
        <v>7500</v>
      </c>
      <c r="X211" s="12">
        <f t="shared" si="97"/>
        <v>7500</v>
      </c>
      <c r="Y211" s="12"/>
      <c r="Z211" s="12"/>
      <c r="AA211" s="12"/>
      <c r="AB211" s="12">
        <v>7500</v>
      </c>
      <c r="AC211" s="12">
        <f t="shared" si="98"/>
        <v>7500</v>
      </c>
      <c r="AD211" s="12"/>
      <c r="AE211" s="12"/>
      <c r="AF211" s="12"/>
      <c r="AG211" s="12">
        <v>7500</v>
      </c>
    </row>
    <row r="212" spans="1:33" ht="35.1" customHeight="1" thickBot="1">
      <c r="A212" s="86"/>
      <c r="B212" s="15"/>
      <c r="C212" s="225"/>
      <c r="D212" s="223"/>
      <c r="E212" s="225"/>
      <c r="F212" s="23"/>
      <c r="G212" s="12"/>
      <c r="H212" s="12"/>
      <c r="I212" s="23"/>
      <c r="J212" s="12"/>
      <c r="K212" s="12"/>
      <c r="L212" s="12"/>
      <c r="M212" s="242" t="s">
        <v>335</v>
      </c>
      <c r="N212" s="12">
        <f t="shared" si="95"/>
        <v>105.1</v>
      </c>
      <c r="O212" s="12"/>
      <c r="P212" s="12"/>
      <c r="Q212" s="12"/>
      <c r="R212" s="12">
        <f>20+85.1</f>
        <v>105.1</v>
      </c>
      <c r="S212" s="12">
        <f t="shared" si="99"/>
        <v>20</v>
      </c>
      <c r="T212" s="12"/>
      <c r="U212" s="12"/>
      <c r="V212" s="12"/>
      <c r="W212" s="12">
        <v>20</v>
      </c>
      <c r="X212" s="12">
        <f t="shared" si="97"/>
        <v>20</v>
      </c>
      <c r="Y212" s="12"/>
      <c r="Z212" s="12"/>
      <c r="AA212" s="12"/>
      <c r="AB212" s="12">
        <v>20</v>
      </c>
      <c r="AC212" s="12">
        <f>AD212+AE212+AF212+AG212</f>
        <v>20</v>
      </c>
      <c r="AD212" s="12"/>
      <c r="AE212" s="12"/>
      <c r="AF212" s="12"/>
      <c r="AG212" s="12">
        <v>20</v>
      </c>
    </row>
    <row r="213" spans="1:33" ht="35.1" customHeight="1" thickBot="1">
      <c r="A213" s="86"/>
      <c r="B213" s="15"/>
      <c r="C213" s="225"/>
      <c r="D213" s="223"/>
      <c r="E213" s="225"/>
      <c r="F213" s="23"/>
      <c r="G213" s="12"/>
      <c r="H213" s="12"/>
      <c r="I213" s="23"/>
      <c r="J213" s="12"/>
      <c r="K213" s="12"/>
      <c r="L213" s="12"/>
      <c r="M213" s="23" t="s">
        <v>336</v>
      </c>
      <c r="N213" s="12">
        <f t="shared" si="95"/>
        <v>316.7</v>
      </c>
      <c r="O213" s="12"/>
      <c r="P213" s="12"/>
      <c r="Q213" s="12"/>
      <c r="R213" s="12">
        <f>5+311.7</f>
        <v>316.7</v>
      </c>
      <c r="S213" s="12">
        <f t="shared" si="99"/>
        <v>5</v>
      </c>
      <c r="T213" s="12"/>
      <c r="U213" s="12"/>
      <c r="V213" s="12"/>
      <c r="W213" s="12">
        <v>5</v>
      </c>
      <c r="X213" s="12">
        <f t="shared" si="97"/>
        <v>5</v>
      </c>
      <c r="Y213" s="12"/>
      <c r="Z213" s="12"/>
      <c r="AA213" s="12"/>
      <c r="AB213" s="12">
        <v>5</v>
      </c>
      <c r="AC213" s="12">
        <f>AD213+AE213+AF213+AG213</f>
        <v>5</v>
      </c>
      <c r="AD213" s="12"/>
      <c r="AE213" s="12"/>
      <c r="AF213" s="12"/>
      <c r="AG213" s="12">
        <v>5</v>
      </c>
    </row>
    <row r="214" spans="1:33" ht="35.1" customHeight="1" thickBot="1">
      <c r="A214" s="86"/>
      <c r="B214" s="15"/>
      <c r="C214" s="225"/>
      <c r="D214" s="223"/>
      <c r="E214" s="225"/>
      <c r="F214" s="23"/>
      <c r="G214" s="12"/>
      <c r="H214" s="12"/>
      <c r="I214" s="39" t="s">
        <v>781</v>
      </c>
      <c r="J214" s="171" t="s">
        <v>71</v>
      </c>
      <c r="K214" s="39" t="s">
        <v>782</v>
      </c>
      <c r="L214" s="12"/>
      <c r="M214" s="23" t="s">
        <v>337</v>
      </c>
      <c r="N214" s="12">
        <f t="shared" si="95"/>
        <v>3113.9</v>
      </c>
      <c r="O214" s="12"/>
      <c r="P214" s="12">
        <v>342.1</v>
      </c>
      <c r="Q214" s="12"/>
      <c r="R214" s="12">
        <f>2523+248.8</f>
        <v>2771.8</v>
      </c>
      <c r="S214" s="12">
        <f t="shared" si="99"/>
        <v>2523</v>
      </c>
      <c r="T214" s="12"/>
      <c r="U214" s="12"/>
      <c r="V214" s="12"/>
      <c r="W214" s="12">
        <v>2523</v>
      </c>
      <c r="X214" s="12">
        <f t="shared" si="97"/>
        <v>2523</v>
      </c>
      <c r="Y214" s="12"/>
      <c r="Z214" s="12"/>
      <c r="AA214" s="12"/>
      <c r="AB214" s="12">
        <v>2523</v>
      </c>
      <c r="AC214" s="12">
        <f>AD214+AE214+AF214+AG214</f>
        <v>2523</v>
      </c>
      <c r="AD214" s="12"/>
      <c r="AE214" s="12"/>
      <c r="AF214" s="12"/>
      <c r="AG214" s="12">
        <v>2523</v>
      </c>
    </row>
    <row r="215" spans="1:33" ht="35.1" customHeight="1" thickBot="1">
      <c r="A215" s="86"/>
      <c r="B215" s="15"/>
      <c r="C215" s="25"/>
      <c r="D215" s="25"/>
      <c r="E215" s="25"/>
      <c r="F215" s="25"/>
      <c r="G215" s="25"/>
      <c r="H215" s="25"/>
      <c r="I215" s="25"/>
      <c r="J215" s="25"/>
      <c r="K215" s="63"/>
      <c r="L215" s="12"/>
      <c r="M215" s="49" t="s">
        <v>338</v>
      </c>
      <c r="N215" s="12">
        <f t="shared" si="95"/>
        <v>805.1</v>
      </c>
      <c r="O215" s="12"/>
      <c r="P215" s="12"/>
      <c r="Q215" s="12"/>
      <c r="R215" s="12">
        <f>630.1+175</f>
        <v>805.1</v>
      </c>
      <c r="S215" s="12">
        <f t="shared" si="99"/>
        <v>630.1</v>
      </c>
      <c r="T215" s="12"/>
      <c r="U215" s="12"/>
      <c r="V215" s="12"/>
      <c r="W215" s="12">
        <v>630.1</v>
      </c>
      <c r="X215" s="12">
        <f>Y215+Z215+AA215+AB215</f>
        <v>630.1</v>
      </c>
      <c r="Y215" s="12"/>
      <c r="Z215" s="12"/>
      <c r="AA215" s="12"/>
      <c r="AB215" s="12">
        <v>630.1</v>
      </c>
      <c r="AC215" s="12">
        <f>AD215+AE215+AF215+AG215</f>
        <v>630.1</v>
      </c>
      <c r="AD215" s="12"/>
      <c r="AE215" s="12"/>
      <c r="AF215" s="12"/>
      <c r="AG215" s="12">
        <v>630.1</v>
      </c>
    </row>
    <row r="216" spans="1:33" ht="35.1" customHeight="1" thickBot="1">
      <c r="A216" s="46"/>
      <c r="B216" s="47"/>
      <c r="C216" s="25"/>
      <c r="D216" s="25"/>
      <c r="E216" s="25"/>
      <c r="F216" s="25"/>
      <c r="G216" s="25"/>
      <c r="H216" s="25"/>
      <c r="I216" s="25"/>
      <c r="J216" s="25"/>
      <c r="K216" s="63"/>
      <c r="L216" s="12"/>
      <c r="M216" s="49" t="s">
        <v>339</v>
      </c>
      <c r="N216" s="12">
        <f t="shared" si="95"/>
        <v>95.300000000000011</v>
      </c>
      <c r="O216" s="12"/>
      <c r="P216" s="12">
        <f>96.4-1.1</f>
        <v>95.300000000000011</v>
      </c>
      <c r="Q216" s="12"/>
      <c r="R216" s="12"/>
      <c r="S216" s="12">
        <v>0</v>
      </c>
      <c r="T216" s="12"/>
      <c r="U216" s="12">
        <v>0</v>
      </c>
      <c r="V216" s="12"/>
      <c r="W216" s="12"/>
      <c r="X216" s="12">
        <v>0</v>
      </c>
      <c r="Y216" s="12"/>
      <c r="Z216" s="12">
        <v>0</v>
      </c>
      <c r="AA216" s="12"/>
      <c r="AB216" s="12"/>
      <c r="AC216" s="12">
        <v>0</v>
      </c>
      <c r="AD216" s="12"/>
      <c r="AE216" s="12">
        <v>0</v>
      </c>
      <c r="AF216" s="12"/>
      <c r="AG216" s="12"/>
    </row>
    <row r="217" spans="1:33" ht="35.1" customHeight="1" thickBot="1">
      <c r="A217" s="46"/>
      <c r="B217" s="47"/>
      <c r="C217" s="25"/>
      <c r="D217" s="25"/>
      <c r="E217" s="25"/>
      <c r="F217" s="25"/>
      <c r="G217" s="25"/>
      <c r="H217" s="25"/>
      <c r="I217" s="209"/>
      <c r="J217" s="209"/>
      <c r="K217" s="209"/>
      <c r="L217" s="12"/>
      <c r="M217" s="23" t="s">
        <v>340</v>
      </c>
      <c r="N217" s="12">
        <f t="shared" si="95"/>
        <v>1177.5999999999999</v>
      </c>
      <c r="O217" s="12"/>
      <c r="P217" s="12">
        <v>80.5</v>
      </c>
      <c r="Q217" s="12"/>
      <c r="R217" s="12">
        <f>1008.5+88.6</f>
        <v>1097.0999999999999</v>
      </c>
      <c r="S217" s="12">
        <f>T217+U217+V217+W217</f>
        <v>1008.5</v>
      </c>
      <c r="T217" s="12"/>
      <c r="U217" s="12"/>
      <c r="V217" s="12"/>
      <c r="W217" s="12">
        <v>1008.5</v>
      </c>
      <c r="X217" s="12">
        <f>Y217+Z217+AA217+AB217</f>
        <v>1008.5</v>
      </c>
      <c r="Y217" s="12"/>
      <c r="Z217" s="12"/>
      <c r="AA217" s="12"/>
      <c r="AB217" s="12">
        <v>1008.5</v>
      </c>
      <c r="AC217" s="12">
        <f>AD217+AE217+AF217+AG217</f>
        <v>1008.5</v>
      </c>
      <c r="AD217" s="12"/>
      <c r="AE217" s="12"/>
      <c r="AF217" s="12"/>
      <c r="AG217" s="12">
        <v>1008.5</v>
      </c>
    </row>
    <row r="218" spans="1:33" ht="35.1" customHeight="1" thickBot="1">
      <c r="A218" s="46"/>
      <c r="B218" s="47"/>
      <c r="C218" s="25"/>
      <c r="D218" s="25"/>
      <c r="E218" s="25"/>
      <c r="F218" s="25"/>
      <c r="G218" s="25"/>
      <c r="H218" s="25"/>
      <c r="I218" s="25" t="s">
        <v>198</v>
      </c>
      <c r="J218" s="25" t="s">
        <v>111</v>
      </c>
      <c r="K218" s="63" t="s">
        <v>656</v>
      </c>
      <c r="L218" s="12"/>
      <c r="M218" s="23" t="s">
        <v>341</v>
      </c>
      <c r="N218" s="12">
        <f t="shared" si="95"/>
        <v>161.1</v>
      </c>
      <c r="O218" s="12"/>
      <c r="P218" s="12">
        <v>20.100000000000001</v>
      </c>
      <c r="Q218" s="12"/>
      <c r="R218" s="12">
        <f>140.9+0.1</f>
        <v>141</v>
      </c>
      <c r="S218" s="12">
        <f>T218+U218+V218+W218</f>
        <v>140.9</v>
      </c>
      <c r="T218" s="12"/>
      <c r="U218" s="12"/>
      <c r="V218" s="12"/>
      <c r="W218" s="12">
        <v>140.9</v>
      </c>
      <c r="X218" s="12">
        <f>Y218+Z218+AA218+AB218</f>
        <v>140.9</v>
      </c>
      <c r="Y218" s="12"/>
      <c r="Z218" s="12"/>
      <c r="AA218" s="12"/>
      <c r="AB218" s="12">
        <v>140.9</v>
      </c>
      <c r="AC218" s="12">
        <f>AD218+AE218+AF218+AG218</f>
        <v>140.9</v>
      </c>
      <c r="AD218" s="12"/>
      <c r="AE218" s="12"/>
      <c r="AF218" s="12"/>
      <c r="AG218" s="12">
        <v>140.9</v>
      </c>
    </row>
    <row r="219" spans="1:33" ht="35.1" customHeight="1" thickBot="1">
      <c r="A219" s="46"/>
      <c r="B219" s="47"/>
      <c r="C219" s="194"/>
      <c r="D219" s="194"/>
      <c r="E219" s="194"/>
      <c r="F219" s="194"/>
      <c r="G219" s="194"/>
      <c r="H219" s="194"/>
      <c r="I219" s="194" t="s">
        <v>347</v>
      </c>
      <c r="J219" s="15" t="s">
        <v>71</v>
      </c>
      <c r="K219" s="59" t="s">
        <v>651</v>
      </c>
      <c r="L219" s="12"/>
      <c r="M219" s="23" t="s">
        <v>342</v>
      </c>
      <c r="N219" s="12">
        <f t="shared" si="95"/>
        <v>1128.7</v>
      </c>
      <c r="O219" s="12"/>
      <c r="P219" s="12">
        <v>60.4</v>
      </c>
      <c r="Q219" s="12"/>
      <c r="R219" s="12">
        <f>955.4+112.9</f>
        <v>1068.3</v>
      </c>
      <c r="S219" s="12">
        <f>T219+U219+V219+W219</f>
        <v>955.4</v>
      </c>
      <c r="T219" s="12"/>
      <c r="U219" s="12"/>
      <c r="V219" s="12"/>
      <c r="W219" s="12">
        <v>955.4</v>
      </c>
      <c r="X219" s="12">
        <f>Y219+Z219+AA219+AB219</f>
        <v>955.4</v>
      </c>
      <c r="Y219" s="12"/>
      <c r="Z219" s="12"/>
      <c r="AA219" s="12"/>
      <c r="AB219" s="12">
        <v>955.4</v>
      </c>
      <c r="AC219" s="12">
        <f>AD219+AE219+AF219+AG219</f>
        <v>955.4</v>
      </c>
      <c r="AD219" s="12"/>
      <c r="AE219" s="12"/>
      <c r="AF219" s="12"/>
      <c r="AG219" s="12">
        <v>955.4</v>
      </c>
    </row>
    <row r="220" spans="1:33" ht="35.1" customHeight="1" thickBot="1">
      <c r="A220" s="46"/>
      <c r="B220" s="47"/>
      <c r="C220" s="194"/>
      <c r="D220" s="194"/>
      <c r="E220" s="194"/>
      <c r="F220" s="194"/>
      <c r="G220" s="194"/>
      <c r="H220" s="194"/>
      <c r="I220" s="194"/>
      <c r="J220" s="194"/>
      <c r="K220" s="7"/>
      <c r="L220" s="12"/>
      <c r="M220" s="23" t="s">
        <v>343</v>
      </c>
      <c r="N220" s="12">
        <f t="shared" si="95"/>
        <v>90.4</v>
      </c>
      <c r="O220" s="12"/>
      <c r="P220" s="12">
        <f>96.4-6</f>
        <v>90.4</v>
      </c>
      <c r="Q220" s="12"/>
      <c r="R220" s="12"/>
      <c r="S220" s="12">
        <v>0</v>
      </c>
      <c r="T220" s="12"/>
      <c r="U220" s="12">
        <v>0</v>
      </c>
      <c r="V220" s="12"/>
      <c r="W220" s="12"/>
      <c r="X220" s="12">
        <v>0</v>
      </c>
      <c r="Y220" s="12"/>
      <c r="Z220" s="12">
        <v>0</v>
      </c>
      <c r="AA220" s="12"/>
      <c r="AB220" s="12"/>
      <c r="AC220" s="12">
        <v>0</v>
      </c>
      <c r="AD220" s="12"/>
      <c r="AE220" s="12">
        <v>0</v>
      </c>
      <c r="AF220" s="12"/>
      <c r="AG220" s="12"/>
    </row>
    <row r="221" spans="1:33" ht="35.1" customHeight="1" thickBot="1">
      <c r="A221" s="46"/>
      <c r="B221" s="47"/>
      <c r="C221" s="194"/>
      <c r="D221" s="194"/>
      <c r="E221" s="194"/>
      <c r="F221" s="194"/>
      <c r="G221" s="194"/>
      <c r="H221" s="194"/>
      <c r="I221" s="61"/>
      <c r="J221" s="194"/>
      <c r="K221" s="7"/>
      <c r="L221" s="12"/>
      <c r="M221" s="23" t="s">
        <v>344</v>
      </c>
      <c r="N221" s="12">
        <f t="shared" si="95"/>
        <v>307.10000000000002</v>
      </c>
      <c r="O221" s="12"/>
      <c r="P221" s="12"/>
      <c r="Q221" s="12"/>
      <c r="R221" s="12">
        <f>157.1+150</f>
        <v>307.10000000000002</v>
      </c>
      <c r="S221" s="12">
        <f>T221+U221+V221+W221</f>
        <v>157.1</v>
      </c>
      <c r="T221" s="12"/>
      <c r="U221" s="12"/>
      <c r="V221" s="12"/>
      <c r="W221" s="12">
        <v>157.1</v>
      </c>
      <c r="X221" s="12">
        <f>Y221+Z221+AA221+AB221</f>
        <v>157.1</v>
      </c>
      <c r="Y221" s="12"/>
      <c r="Z221" s="12"/>
      <c r="AA221" s="12"/>
      <c r="AB221" s="12">
        <v>157.1</v>
      </c>
      <c r="AC221" s="12">
        <f>AD221+AE221+AF221+AG221</f>
        <v>157.1</v>
      </c>
      <c r="AD221" s="12"/>
      <c r="AE221" s="12"/>
      <c r="AF221" s="12"/>
      <c r="AG221" s="12">
        <v>157.1</v>
      </c>
    </row>
    <row r="222" spans="1:33" ht="35.1" customHeight="1">
      <c r="A222" s="79"/>
      <c r="B222" s="47"/>
      <c r="C222" s="23"/>
      <c r="D222" s="23"/>
      <c r="E222" s="215"/>
      <c r="F222" s="12"/>
      <c r="G222" s="12"/>
      <c r="H222" s="12"/>
      <c r="I222" s="194"/>
      <c r="J222" s="15"/>
      <c r="K222" s="224"/>
      <c r="L222" s="12"/>
      <c r="M222" s="23" t="s">
        <v>345</v>
      </c>
      <c r="N222" s="12">
        <f t="shared" si="95"/>
        <v>666.5</v>
      </c>
      <c r="O222" s="12"/>
      <c r="P222" s="12">
        <v>40.200000000000003</v>
      </c>
      <c r="Q222" s="12"/>
      <c r="R222" s="12">
        <f>515.3+0.1+110.9</f>
        <v>626.29999999999995</v>
      </c>
      <c r="S222" s="12">
        <f>T222+U222+V222+W222</f>
        <v>515.29999999999995</v>
      </c>
      <c r="T222" s="12"/>
      <c r="U222" s="12"/>
      <c r="V222" s="12"/>
      <c r="W222" s="12">
        <v>515.29999999999995</v>
      </c>
      <c r="X222" s="12">
        <f>Y222+Z222+AA222+AB222</f>
        <v>515.29999999999995</v>
      </c>
      <c r="Y222" s="12"/>
      <c r="Z222" s="12"/>
      <c r="AA222" s="12"/>
      <c r="AB222" s="12">
        <v>515.29999999999995</v>
      </c>
      <c r="AC222" s="12">
        <f>AD222+AE222+AF222+AG222</f>
        <v>515.29999999999995</v>
      </c>
      <c r="AD222" s="12"/>
      <c r="AE222" s="12"/>
      <c r="AF222" s="12"/>
      <c r="AG222" s="12">
        <v>515.29999999999995</v>
      </c>
    </row>
    <row r="223" spans="1:33" ht="35.1" customHeight="1">
      <c r="A223" s="79"/>
      <c r="B223" s="47"/>
      <c r="C223" s="23"/>
      <c r="D223" s="23"/>
      <c r="E223" s="215"/>
      <c r="F223" s="12"/>
      <c r="G223" s="12"/>
      <c r="H223" s="12"/>
      <c r="I223" s="194"/>
      <c r="J223" s="15"/>
      <c r="K223" s="224"/>
      <c r="L223" s="12"/>
      <c r="M223" s="23" t="s">
        <v>346</v>
      </c>
      <c r="N223" s="12">
        <f t="shared" si="95"/>
        <v>72.3</v>
      </c>
      <c r="O223" s="12"/>
      <c r="P223" s="12">
        <v>72.3</v>
      </c>
      <c r="Q223" s="12"/>
      <c r="R223" s="12"/>
      <c r="S223" s="12">
        <v>0</v>
      </c>
      <c r="T223" s="12"/>
      <c r="U223" s="12">
        <v>0</v>
      </c>
      <c r="V223" s="12"/>
      <c r="W223" s="12"/>
      <c r="X223" s="12">
        <v>0</v>
      </c>
      <c r="Y223" s="12"/>
      <c r="Z223" s="12">
        <v>0</v>
      </c>
      <c r="AA223" s="12"/>
      <c r="AB223" s="12"/>
      <c r="AC223" s="12">
        <v>0</v>
      </c>
      <c r="AD223" s="12"/>
      <c r="AE223" s="12">
        <v>0</v>
      </c>
      <c r="AF223" s="12"/>
      <c r="AG223" s="12"/>
    </row>
    <row r="224" spans="1:33" ht="35.1" customHeight="1">
      <c r="A224" s="79"/>
      <c r="B224" s="47"/>
      <c r="C224" s="23"/>
      <c r="D224" s="23"/>
      <c r="E224" s="215"/>
      <c r="F224" s="12"/>
      <c r="G224" s="12"/>
      <c r="H224" s="12"/>
      <c r="I224" s="194" t="s">
        <v>347</v>
      </c>
      <c r="J224" s="15" t="s">
        <v>71</v>
      </c>
      <c r="K224" s="59" t="s">
        <v>651</v>
      </c>
      <c r="L224" s="12"/>
      <c r="M224" s="23" t="s">
        <v>348</v>
      </c>
      <c r="N224" s="12">
        <f t="shared" si="95"/>
        <v>343</v>
      </c>
      <c r="O224" s="12"/>
      <c r="P224" s="12"/>
      <c r="Q224" s="12"/>
      <c r="R224" s="12">
        <v>343</v>
      </c>
      <c r="S224" s="12">
        <f>T224+U224+V224+W224</f>
        <v>343</v>
      </c>
      <c r="T224" s="12"/>
      <c r="U224" s="12"/>
      <c r="V224" s="12"/>
      <c r="W224" s="12">
        <v>343</v>
      </c>
      <c r="X224" s="12">
        <f>Y224+Z224+AA224+AB224</f>
        <v>343</v>
      </c>
      <c r="Y224" s="12"/>
      <c r="Z224" s="12"/>
      <c r="AA224" s="12"/>
      <c r="AB224" s="12">
        <v>343</v>
      </c>
      <c r="AC224" s="12">
        <f>AD224+AE224+AF224+AG224</f>
        <v>343</v>
      </c>
      <c r="AD224" s="12"/>
      <c r="AE224" s="12"/>
      <c r="AF224" s="12"/>
      <c r="AG224" s="12">
        <v>343</v>
      </c>
    </row>
    <row r="225" spans="1:33" ht="35.1" customHeight="1">
      <c r="A225" s="80"/>
      <c r="B225" s="194"/>
      <c r="C225" s="194"/>
      <c r="D225" s="194"/>
      <c r="E225" s="194"/>
      <c r="F225" s="194"/>
      <c r="G225" s="194"/>
      <c r="H225" s="194"/>
      <c r="I225" s="209"/>
      <c r="J225" s="209"/>
      <c r="K225" s="209"/>
      <c r="L225" s="12"/>
      <c r="M225" s="23" t="s">
        <v>349</v>
      </c>
      <c r="N225" s="12">
        <f t="shared" si="95"/>
        <v>917.09999999999991</v>
      </c>
      <c r="O225" s="12"/>
      <c r="P225" s="12">
        <v>60.4</v>
      </c>
      <c r="Q225" s="12"/>
      <c r="R225" s="12">
        <f>817.3+39.4</f>
        <v>856.69999999999993</v>
      </c>
      <c r="S225" s="12">
        <f>T225+U225+V225+W225</f>
        <v>817.3</v>
      </c>
      <c r="T225" s="12"/>
      <c r="U225" s="12"/>
      <c r="V225" s="12"/>
      <c r="W225" s="12">
        <v>817.3</v>
      </c>
      <c r="X225" s="12">
        <f>Y225+Z225+AA225+AB225</f>
        <v>817.3</v>
      </c>
      <c r="Y225" s="12"/>
      <c r="Z225" s="12"/>
      <c r="AA225" s="12"/>
      <c r="AB225" s="12">
        <v>817.3</v>
      </c>
      <c r="AC225" s="12">
        <f>AD225+AE225+AF225+AG225</f>
        <v>817.3</v>
      </c>
      <c r="AD225" s="12"/>
      <c r="AE225" s="12"/>
      <c r="AF225" s="12"/>
      <c r="AG225" s="12">
        <v>817.3</v>
      </c>
    </row>
    <row r="226" spans="1:33" ht="35.1" customHeight="1">
      <c r="A226" s="80"/>
      <c r="B226" s="194"/>
      <c r="C226" s="194"/>
      <c r="D226" s="194"/>
      <c r="E226" s="194"/>
      <c r="F226" s="194"/>
      <c r="G226" s="194"/>
      <c r="H226" s="194"/>
      <c r="I226" s="194"/>
      <c r="J226" s="194"/>
      <c r="K226" s="55"/>
      <c r="L226" s="12"/>
      <c r="M226" s="23" t="s">
        <v>350</v>
      </c>
      <c r="N226" s="12">
        <f t="shared" si="95"/>
        <v>68.3</v>
      </c>
      <c r="O226" s="12"/>
      <c r="P226" s="12">
        <f>72.3-4</f>
        <v>68.3</v>
      </c>
      <c r="Q226" s="12"/>
      <c r="R226" s="12"/>
      <c r="S226" s="12">
        <v>0</v>
      </c>
      <c r="T226" s="12"/>
      <c r="U226" s="12">
        <v>0</v>
      </c>
      <c r="V226" s="12"/>
      <c r="W226" s="12"/>
      <c r="X226" s="12">
        <v>0</v>
      </c>
      <c r="Y226" s="12"/>
      <c r="Z226" s="12">
        <v>0</v>
      </c>
      <c r="AA226" s="12"/>
      <c r="AB226" s="12"/>
      <c r="AC226" s="12">
        <v>0</v>
      </c>
      <c r="AD226" s="12"/>
      <c r="AE226" s="12">
        <v>0</v>
      </c>
      <c r="AF226" s="12"/>
      <c r="AG226" s="12"/>
    </row>
    <row r="227" spans="1:33" ht="35.1" customHeight="1">
      <c r="A227" s="80"/>
      <c r="B227" s="194"/>
      <c r="C227" s="194"/>
      <c r="D227" s="194"/>
      <c r="E227" s="194"/>
      <c r="F227" s="194"/>
      <c r="G227" s="194"/>
      <c r="H227" s="194"/>
      <c r="I227" s="22"/>
      <c r="J227" s="194"/>
      <c r="K227" s="55"/>
      <c r="L227" s="12"/>
      <c r="M227" s="23" t="s">
        <v>351</v>
      </c>
      <c r="N227" s="12">
        <f t="shared" si="95"/>
        <v>752.6</v>
      </c>
      <c r="O227" s="12"/>
      <c r="P227" s="12"/>
      <c r="Q227" s="12"/>
      <c r="R227" s="12">
        <f>519.6+233</f>
        <v>752.6</v>
      </c>
      <c r="S227" s="12">
        <f>T227+U227+V227+W227</f>
        <v>519.6</v>
      </c>
      <c r="T227" s="12"/>
      <c r="U227" s="12"/>
      <c r="V227" s="12"/>
      <c r="W227" s="12">
        <v>519.6</v>
      </c>
      <c r="X227" s="12">
        <f>Y227+Z227+AA227+AB227</f>
        <v>519.6</v>
      </c>
      <c r="Y227" s="12"/>
      <c r="Z227" s="12"/>
      <c r="AA227" s="12"/>
      <c r="AB227" s="12">
        <v>519.6</v>
      </c>
      <c r="AC227" s="12">
        <f>AD227+AE227+AF227+AG227</f>
        <v>519.6</v>
      </c>
      <c r="AD227" s="12"/>
      <c r="AE227" s="12"/>
      <c r="AF227" s="12"/>
      <c r="AG227" s="12">
        <v>519.6</v>
      </c>
    </row>
    <row r="228" spans="1:33" ht="35.1" customHeight="1">
      <c r="A228" s="80"/>
      <c r="B228" s="194"/>
      <c r="C228" s="194"/>
      <c r="D228" s="194"/>
      <c r="E228" s="194"/>
      <c r="F228" s="194"/>
      <c r="G228" s="194"/>
      <c r="H228" s="194"/>
      <c r="I228" s="194" t="s">
        <v>151</v>
      </c>
      <c r="J228" s="194" t="s">
        <v>111</v>
      </c>
      <c r="K228" s="55" t="s">
        <v>689</v>
      </c>
      <c r="L228" s="12"/>
      <c r="M228" s="23" t="s">
        <v>352</v>
      </c>
      <c r="N228" s="12">
        <f t="shared" si="95"/>
        <v>237.9</v>
      </c>
      <c r="O228" s="12"/>
      <c r="P228" s="12">
        <v>20.100000000000001</v>
      </c>
      <c r="Q228" s="12"/>
      <c r="R228" s="12">
        <f>177.3+40.5</f>
        <v>217.8</v>
      </c>
      <c r="S228" s="12">
        <f>T228+U228+V228+W228</f>
        <v>177.3</v>
      </c>
      <c r="T228" s="12"/>
      <c r="U228" s="12"/>
      <c r="V228" s="12"/>
      <c r="W228" s="12">
        <v>177.3</v>
      </c>
      <c r="X228" s="12">
        <f>Y228+Z228+AA228+AB228</f>
        <v>177.3</v>
      </c>
      <c r="Y228" s="12"/>
      <c r="Z228" s="12"/>
      <c r="AA228" s="12"/>
      <c r="AB228" s="12">
        <v>177.3</v>
      </c>
      <c r="AC228" s="12">
        <f>AD228+AE228+AF228+AG228</f>
        <v>177.3</v>
      </c>
      <c r="AD228" s="12"/>
      <c r="AE228" s="12"/>
      <c r="AF228" s="12"/>
      <c r="AG228" s="12">
        <v>177.3</v>
      </c>
    </row>
    <row r="229" spans="1:33" ht="35.1" customHeight="1">
      <c r="A229" s="80"/>
      <c r="B229" s="194"/>
      <c r="C229" s="194"/>
      <c r="D229" s="194"/>
      <c r="E229" s="194"/>
      <c r="F229" s="194"/>
      <c r="G229" s="198"/>
      <c r="H229" s="12"/>
      <c r="I229" s="209"/>
      <c r="J229" s="209"/>
      <c r="K229" s="209"/>
      <c r="L229" s="12"/>
      <c r="M229" s="194" t="s">
        <v>353</v>
      </c>
      <c r="N229" s="12">
        <f t="shared" si="95"/>
        <v>3764.8</v>
      </c>
      <c r="O229" s="12"/>
      <c r="P229" s="12">
        <v>221.3</v>
      </c>
      <c r="Q229" s="12"/>
      <c r="R229" s="12">
        <f>2903.5+640</f>
        <v>3543.5</v>
      </c>
      <c r="S229" s="12">
        <f>T229+U229+V229+W229</f>
        <v>2903.5</v>
      </c>
      <c r="T229" s="12"/>
      <c r="U229" s="12"/>
      <c r="V229" s="12"/>
      <c r="W229" s="12">
        <v>2903.5</v>
      </c>
      <c r="X229" s="12">
        <f>Y229+Z229+AA229+AB229</f>
        <v>2903.5</v>
      </c>
      <c r="Y229" s="12"/>
      <c r="Z229" s="12"/>
      <c r="AA229" s="12"/>
      <c r="AB229" s="12">
        <v>2903.5</v>
      </c>
      <c r="AC229" s="12">
        <f>AD229+AE229+AF229+AG229</f>
        <v>2903.5</v>
      </c>
      <c r="AD229" s="12"/>
      <c r="AE229" s="12"/>
      <c r="AF229" s="12"/>
      <c r="AG229" s="12">
        <v>2903.5</v>
      </c>
    </row>
    <row r="230" spans="1:33" ht="35.1" customHeight="1">
      <c r="A230" s="80"/>
      <c r="B230" s="194"/>
      <c r="C230" s="194"/>
      <c r="D230" s="194"/>
      <c r="E230" s="194"/>
      <c r="F230" s="194"/>
      <c r="G230" s="198"/>
      <c r="H230" s="12"/>
      <c r="I230" s="209"/>
      <c r="J230" s="209"/>
      <c r="K230" s="209"/>
      <c r="L230" s="12"/>
      <c r="M230" s="194" t="s">
        <v>354</v>
      </c>
      <c r="N230" s="12">
        <f t="shared" si="95"/>
        <v>265.2</v>
      </c>
      <c r="O230" s="12"/>
      <c r="P230" s="12">
        <v>265.2</v>
      </c>
      <c r="Q230" s="12"/>
      <c r="R230" s="12"/>
      <c r="S230" s="12">
        <v>0</v>
      </c>
      <c r="T230" s="12"/>
      <c r="U230" s="12">
        <v>0</v>
      </c>
      <c r="V230" s="12"/>
      <c r="W230" s="12"/>
      <c r="X230" s="12">
        <v>0</v>
      </c>
      <c r="Y230" s="12"/>
      <c r="Z230" s="12">
        <v>0</v>
      </c>
      <c r="AA230" s="12"/>
      <c r="AB230" s="12"/>
      <c r="AC230" s="12">
        <v>0</v>
      </c>
      <c r="AD230" s="12"/>
      <c r="AE230" s="12">
        <v>0</v>
      </c>
      <c r="AF230" s="12"/>
      <c r="AG230" s="12"/>
    </row>
    <row r="231" spans="1:33" ht="35.1" customHeight="1">
      <c r="A231" s="80"/>
      <c r="B231" s="15"/>
      <c r="C231" s="11"/>
      <c r="D231" s="194"/>
      <c r="E231" s="194"/>
      <c r="F231" s="194"/>
      <c r="G231" s="198"/>
      <c r="H231" s="12"/>
      <c r="I231" s="209"/>
      <c r="J231" s="209"/>
      <c r="K231" s="209"/>
      <c r="L231" s="12"/>
      <c r="M231" s="23" t="s">
        <v>355</v>
      </c>
      <c r="N231" s="12">
        <f t="shared" si="95"/>
        <v>1688</v>
      </c>
      <c r="O231" s="12"/>
      <c r="P231" s="12"/>
      <c r="Q231" s="12"/>
      <c r="R231" s="12">
        <v>1688</v>
      </c>
      <c r="S231" s="12">
        <f>T231+U231+V231+W231</f>
        <v>1688</v>
      </c>
      <c r="T231" s="12"/>
      <c r="U231" s="12"/>
      <c r="V231" s="12"/>
      <c r="W231" s="12">
        <v>1688</v>
      </c>
      <c r="X231" s="12">
        <f>Y231+Z231+AA231+AB231</f>
        <v>1688</v>
      </c>
      <c r="Y231" s="12"/>
      <c r="Z231" s="12"/>
      <c r="AA231" s="12"/>
      <c r="AB231" s="12">
        <v>1688</v>
      </c>
      <c r="AC231" s="12">
        <f>AD231+AE231+AF231+AG231</f>
        <v>1688</v>
      </c>
      <c r="AD231" s="12"/>
      <c r="AE231" s="12"/>
      <c r="AF231" s="12"/>
      <c r="AG231" s="12">
        <v>1688</v>
      </c>
    </row>
    <row r="232" spans="1:33" ht="35.1" customHeight="1">
      <c r="A232" s="80"/>
      <c r="B232" s="15"/>
      <c r="C232" s="148"/>
      <c r="D232" s="191"/>
      <c r="E232" s="194"/>
      <c r="F232" s="194"/>
      <c r="G232" s="198"/>
      <c r="H232" s="11"/>
      <c r="I232" s="39" t="s">
        <v>783</v>
      </c>
      <c r="J232" s="171" t="s">
        <v>71</v>
      </c>
      <c r="K232" s="39" t="s">
        <v>782</v>
      </c>
      <c r="L232" s="12"/>
      <c r="M232" s="23" t="s">
        <v>356</v>
      </c>
      <c r="N232" s="12">
        <f t="shared" si="95"/>
        <v>231.6</v>
      </c>
      <c r="O232" s="12"/>
      <c r="P232" s="12">
        <v>20.100000000000001</v>
      </c>
      <c r="Q232" s="12"/>
      <c r="R232" s="12">
        <f>211.5</f>
        <v>211.5</v>
      </c>
      <c r="S232" s="12">
        <f>T232+U232+V232+W232</f>
        <v>211.5</v>
      </c>
      <c r="T232" s="12"/>
      <c r="U232" s="12"/>
      <c r="V232" s="12"/>
      <c r="W232" s="12">
        <v>211.5</v>
      </c>
      <c r="X232" s="12">
        <f>Y232+Z232+AA232+AB232</f>
        <v>211.5</v>
      </c>
      <c r="Y232" s="12"/>
      <c r="Z232" s="12"/>
      <c r="AA232" s="12"/>
      <c r="AB232" s="12">
        <v>211.5</v>
      </c>
      <c r="AC232" s="12">
        <f>AD232+AE232+AF232+AG232</f>
        <v>211.5</v>
      </c>
      <c r="AD232" s="12"/>
      <c r="AE232" s="12"/>
      <c r="AF232" s="12"/>
      <c r="AG232" s="12">
        <v>211.5</v>
      </c>
    </row>
    <row r="233" spans="1:33" ht="35.1" customHeight="1">
      <c r="A233" s="82" t="s">
        <v>357</v>
      </c>
      <c r="B233" s="83">
        <v>2602</v>
      </c>
      <c r="C233" s="41"/>
      <c r="D233" s="84"/>
      <c r="E233" s="42"/>
      <c r="F233" s="42"/>
      <c r="G233" s="42"/>
      <c r="H233" s="19"/>
      <c r="I233" s="202"/>
      <c r="J233" s="202"/>
      <c r="K233" s="202"/>
      <c r="L233" s="42">
        <v>1</v>
      </c>
      <c r="M233" s="23"/>
      <c r="N233" s="19">
        <f>N234+N236+N237+N239+N240+N242+N243+N245+N246+N248+N250+N252+N253+N255+N235+N241+N244+N247+N249+N251+N254+N238</f>
        <v>82703.8</v>
      </c>
      <c r="O233" s="19">
        <f t="shared" ref="O233:AG233" si="100">O234+O236+O237+O239+O240+O242+O243+O245+O246+O248+O250+O252+O253+O255+O235+O241+O244+O247+O249+O251+O254+O238</f>
        <v>0</v>
      </c>
      <c r="P233" s="19">
        <f t="shared" si="100"/>
        <v>9905.5</v>
      </c>
      <c r="Q233" s="19">
        <f t="shared" si="100"/>
        <v>0</v>
      </c>
      <c r="R233" s="19">
        <f t="shared" si="100"/>
        <v>72798.3</v>
      </c>
      <c r="S233" s="19">
        <f t="shared" si="100"/>
        <v>68147</v>
      </c>
      <c r="T233" s="19">
        <f t="shared" si="100"/>
        <v>0</v>
      </c>
      <c r="U233" s="19">
        <f t="shared" si="100"/>
        <v>0</v>
      </c>
      <c r="V233" s="19">
        <f t="shared" si="100"/>
        <v>0</v>
      </c>
      <c r="W233" s="19">
        <f t="shared" si="100"/>
        <v>68147</v>
      </c>
      <c r="X233" s="19">
        <f t="shared" si="100"/>
        <v>68147</v>
      </c>
      <c r="Y233" s="19">
        <f t="shared" si="100"/>
        <v>0</v>
      </c>
      <c r="Z233" s="19">
        <f t="shared" si="100"/>
        <v>0</v>
      </c>
      <c r="AA233" s="19">
        <f t="shared" si="100"/>
        <v>0</v>
      </c>
      <c r="AB233" s="19">
        <f t="shared" si="100"/>
        <v>68147</v>
      </c>
      <c r="AC233" s="19">
        <f t="shared" si="100"/>
        <v>68147</v>
      </c>
      <c r="AD233" s="19">
        <f t="shared" si="100"/>
        <v>0</v>
      </c>
      <c r="AE233" s="19">
        <f t="shared" si="100"/>
        <v>0</v>
      </c>
      <c r="AF233" s="19">
        <f t="shared" si="100"/>
        <v>0</v>
      </c>
      <c r="AG233" s="19">
        <f t="shared" si="100"/>
        <v>68147</v>
      </c>
    </row>
    <row r="234" spans="1:33" ht="35.1" customHeight="1">
      <c r="A234" s="80"/>
      <c r="B234" s="15"/>
      <c r="C234" s="203" t="s">
        <v>636</v>
      </c>
      <c r="D234" s="194" t="s">
        <v>637</v>
      </c>
      <c r="E234" s="194" t="s">
        <v>638</v>
      </c>
      <c r="F234" s="183" t="s">
        <v>317</v>
      </c>
      <c r="G234" s="183" t="s">
        <v>27</v>
      </c>
      <c r="H234" s="183" t="s">
        <v>28</v>
      </c>
      <c r="I234" s="62" t="s">
        <v>639</v>
      </c>
      <c r="J234" s="62" t="s">
        <v>650</v>
      </c>
      <c r="K234" s="166" t="s">
        <v>640</v>
      </c>
      <c r="L234" s="12"/>
      <c r="M234" s="184" t="s">
        <v>358</v>
      </c>
      <c r="N234" s="12">
        <f t="shared" ref="N234:N252" si="101">O234+P234+Q234+R234</f>
        <v>929.6</v>
      </c>
      <c r="O234" s="12"/>
      <c r="P234" s="12">
        <v>66.599999999999994</v>
      </c>
      <c r="Q234" s="12"/>
      <c r="R234" s="12">
        <f>814.5+48.5</f>
        <v>863</v>
      </c>
      <c r="S234" s="12">
        <f>T234+U234+V234+W234</f>
        <v>814.5</v>
      </c>
      <c r="T234" s="12"/>
      <c r="U234" s="12"/>
      <c r="V234" s="12"/>
      <c r="W234" s="12">
        <v>814.5</v>
      </c>
      <c r="X234" s="12">
        <f>Y234+Z234+AA234+AB234</f>
        <v>814.5</v>
      </c>
      <c r="Y234" s="12"/>
      <c r="Z234" s="12"/>
      <c r="AA234" s="12"/>
      <c r="AB234" s="12">
        <v>814.5</v>
      </c>
      <c r="AC234" s="12">
        <f>AD234+AE234+AF234+AG234</f>
        <v>814.5</v>
      </c>
      <c r="AD234" s="12"/>
      <c r="AE234" s="12"/>
      <c r="AF234" s="12"/>
      <c r="AG234" s="12">
        <v>814.5</v>
      </c>
    </row>
    <row r="235" spans="1:33" ht="35.1" customHeight="1">
      <c r="A235" s="80"/>
      <c r="B235" s="15"/>
      <c r="C235" s="203"/>
      <c r="D235" s="194"/>
      <c r="E235" s="194"/>
      <c r="F235" s="183" t="s">
        <v>326</v>
      </c>
      <c r="G235" s="151" t="s">
        <v>27</v>
      </c>
      <c r="H235" s="193" t="s">
        <v>48</v>
      </c>
      <c r="I235" s="194" t="s">
        <v>327</v>
      </c>
      <c r="J235" s="194" t="s">
        <v>328</v>
      </c>
      <c r="K235" s="59" t="s">
        <v>329</v>
      </c>
      <c r="L235" s="12"/>
      <c r="M235" s="184" t="s">
        <v>359</v>
      </c>
      <c r="N235" s="12">
        <f t="shared" si="101"/>
        <v>196.8</v>
      </c>
      <c r="O235" s="12"/>
      <c r="P235" s="12">
        <f>159.6+37.2</f>
        <v>196.8</v>
      </c>
      <c r="Q235" s="12"/>
      <c r="R235" s="12"/>
      <c r="S235" s="12">
        <v>0</v>
      </c>
      <c r="T235" s="12"/>
      <c r="U235" s="12">
        <v>0</v>
      </c>
      <c r="V235" s="12"/>
      <c r="W235" s="12"/>
      <c r="X235" s="12">
        <v>0</v>
      </c>
      <c r="Y235" s="12"/>
      <c r="Z235" s="12">
        <v>0</v>
      </c>
      <c r="AA235" s="12"/>
      <c r="AB235" s="12"/>
      <c r="AC235" s="12">
        <v>0</v>
      </c>
      <c r="AD235" s="12"/>
      <c r="AE235" s="12">
        <v>0</v>
      </c>
      <c r="AF235" s="12"/>
      <c r="AG235" s="12"/>
    </row>
    <row r="236" spans="1:33" ht="35.1" customHeight="1">
      <c r="A236" s="80"/>
      <c r="B236" s="15"/>
      <c r="C236" s="203"/>
      <c r="D236" s="194"/>
      <c r="E236" s="194"/>
      <c r="F236" s="226"/>
      <c r="G236" s="226"/>
      <c r="H236" s="226"/>
      <c r="I236" s="23"/>
      <c r="J236" s="15"/>
      <c r="K236" s="224"/>
      <c r="L236" s="12"/>
      <c r="M236" s="23" t="s">
        <v>360</v>
      </c>
      <c r="N236" s="12">
        <f t="shared" si="101"/>
        <v>2235</v>
      </c>
      <c r="O236" s="12"/>
      <c r="P236" s="12">
        <v>66.599999999999994</v>
      </c>
      <c r="Q236" s="12"/>
      <c r="R236" s="12">
        <f>1904.9+263.5</f>
        <v>2168.4</v>
      </c>
      <c r="S236" s="12">
        <f>T236+U236+V236+W236</f>
        <v>1904.9</v>
      </c>
      <c r="T236" s="12"/>
      <c r="U236" s="12"/>
      <c r="V236" s="12"/>
      <c r="W236" s="12">
        <v>1904.9</v>
      </c>
      <c r="X236" s="12">
        <f t="shared" ref="X236:X255" si="102">Y236+Z236+AA236+AB236</f>
        <v>1904.9</v>
      </c>
      <c r="Y236" s="12"/>
      <c r="Z236" s="12"/>
      <c r="AA236" s="12"/>
      <c r="AB236" s="12">
        <v>1904.9</v>
      </c>
      <c r="AC236" s="12">
        <f t="shared" ref="AC236:AC252" si="103">AD236+AE236+AF236+AG236</f>
        <v>1904.9</v>
      </c>
      <c r="AD236" s="12"/>
      <c r="AE236" s="12"/>
      <c r="AF236" s="12"/>
      <c r="AG236" s="12">
        <v>1904.9</v>
      </c>
    </row>
    <row r="237" spans="1:33" ht="35.1" customHeight="1">
      <c r="A237" s="80"/>
      <c r="B237" s="15"/>
      <c r="C237" s="203"/>
      <c r="D237" s="194"/>
      <c r="E237" s="194"/>
      <c r="F237" s="226"/>
      <c r="G237" s="226"/>
      <c r="H237" s="226"/>
      <c r="I237" s="194" t="s">
        <v>784</v>
      </c>
      <c r="J237" s="15" t="s">
        <v>71</v>
      </c>
      <c r="K237" s="59" t="s">
        <v>785</v>
      </c>
      <c r="L237" s="12"/>
      <c r="M237" s="23" t="s">
        <v>361</v>
      </c>
      <c r="N237" s="12">
        <f t="shared" si="101"/>
        <v>560.5</v>
      </c>
      <c r="O237" s="12"/>
      <c r="P237" s="12">
        <v>66.7</v>
      </c>
      <c r="Q237" s="12"/>
      <c r="R237" s="12">
        <f>485.4-0.1+8.5</f>
        <v>493.79999999999995</v>
      </c>
      <c r="S237" s="12">
        <f>T237+U237+V237+W237</f>
        <v>485.4</v>
      </c>
      <c r="T237" s="12"/>
      <c r="U237" s="12"/>
      <c r="V237" s="12"/>
      <c r="W237" s="12">
        <v>485.4</v>
      </c>
      <c r="X237" s="12">
        <f t="shared" si="102"/>
        <v>485.4</v>
      </c>
      <c r="Y237" s="12"/>
      <c r="Z237" s="12"/>
      <c r="AA237" s="12"/>
      <c r="AB237" s="12">
        <v>485.4</v>
      </c>
      <c r="AC237" s="12">
        <f t="shared" si="103"/>
        <v>485.4</v>
      </c>
      <c r="AD237" s="12"/>
      <c r="AE237" s="12"/>
      <c r="AF237" s="12"/>
      <c r="AG237" s="12">
        <v>485.4</v>
      </c>
    </row>
    <row r="238" spans="1:33" ht="35.1" customHeight="1">
      <c r="A238" s="80"/>
      <c r="B238" s="15"/>
      <c r="C238" s="203"/>
      <c r="D238" s="203"/>
      <c r="E238" s="203"/>
      <c r="F238" s="211"/>
      <c r="G238" s="211"/>
      <c r="H238" s="211"/>
      <c r="I238" s="194"/>
      <c r="J238" s="15"/>
      <c r="K238" s="224"/>
      <c r="L238" s="12"/>
      <c r="M238" s="23" t="s">
        <v>619</v>
      </c>
      <c r="N238" s="12">
        <f t="shared" si="101"/>
        <v>212.2</v>
      </c>
      <c r="O238" s="12"/>
      <c r="P238" s="12">
        <v>212.2</v>
      </c>
      <c r="Q238" s="12"/>
      <c r="R238" s="12"/>
      <c r="S238" s="12">
        <v>0</v>
      </c>
      <c r="T238" s="12"/>
      <c r="U238" s="12">
        <v>0</v>
      </c>
      <c r="V238" s="12"/>
      <c r="W238" s="12"/>
      <c r="X238" s="12">
        <v>0</v>
      </c>
      <c r="Y238" s="12"/>
      <c r="Z238" s="12">
        <v>0</v>
      </c>
      <c r="AA238" s="12"/>
      <c r="AB238" s="12"/>
      <c r="AC238" s="12">
        <v>0</v>
      </c>
      <c r="AD238" s="12"/>
      <c r="AE238" s="12">
        <v>0</v>
      </c>
      <c r="AF238" s="12"/>
      <c r="AG238" s="12"/>
    </row>
    <row r="239" spans="1:33" ht="35.1" customHeight="1">
      <c r="A239" s="80"/>
      <c r="B239" s="15"/>
      <c r="C239" s="23" t="s">
        <v>324</v>
      </c>
      <c r="D239" s="203" t="s">
        <v>27</v>
      </c>
      <c r="E239" s="203" t="s">
        <v>325</v>
      </c>
      <c r="F239" s="12"/>
      <c r="G239" s="12"/>
      <c r="H239" s="12"/>
      <c r="I239" s="23"/>
      <c r="J239" s="198"/>
      <c r="K239" s="198"/>
      <c r="L239" s="12"/>
      <c r="M239" s="23" t="s">
        <v>362</v>
      </c>
      <c r="N239" s="12">
        <f t="shared" si="101"/>
        <v>2240.8999999999996</v>
      </c>
      <c r="O239" s="12"/>
      <c r="P239" s="12">
        <f>278.8-212.2</f>
        <v>66.600000000000023</v>
      </c>
      <c r="Q239" s="12"/>
      <c r="R239" s="12">
        <f>2130-167.9+212.2</f>
        <v>2174.2999999999997</v>
      </c>
      <c r="S239" s="12">
        <f t="shared" ref="S239:S252" si="104">T239+U239+V239+W239</f>
        <v>2130</v>
      </c>
      <c r="T239" s="12"/>
      <c r="U239" s="12"/>
      <c r="V239" s="12"/>
      <c r="W239" s="12">
        <v>2130</v>
      </c>
      <c r="X239" s="12">
        <f t="shared" si="102"/>
        <v>2130</v>
      </c>
      <c r="Y239" s="12"/>
      <c r="Z239" s="12"/>
      <c r="AA239" s="12"/>
      <c r="AB239" s="12">
        <v>2130</v>
      </c>
      <c r="AC239" s="12">
        <f t="shared" si="103"/>
        <v>2130</v>
      </c>
      <c r="AD239" s="12"/>
      <c r="AE239" s="12"/>
      <c r="AF239" s="12"/>
      <c r="AG239" s="12">
        <v>2130</v>
      </c>
    </row>
    <row r="240" spans="1:33" ht="35.1" customHeight="1">
      <c r="A240" s="80"/>
      <c r="B240" s="15"/>
      <c r="C240" s="223"/>
      <c r="D240" s="203"/>
      <c r="E240" s="203"/>
      <c r="F240" s="23"/>
      <c r="G240" s="12"/>
      <c r="H240" s="12"/>
      <c r="I240" s="49"/>
      <c r="J240" s="12"/>
      <c r="K240" s="12"/>
      <c r="L240" s="12"/>
      <c r="M240" s="23" t="s">
        <v>363</v>
      </c>
      <c r="N240" s="12">
        <f t="shared" si="101"/>
        <v>34262.1</v>
      </c>
      <c r="O240" s="12"/>
      <c r="P240" s="12">
        <v>1932.2</v>
      </c>
      <c r="Q240" s="12"/>
      <c r="R240" s="12">
        <f>32330-0.1</f>
        <v>32329.9</v>
      </c>
      <c r="S240" s="12">
        <f t="shared" si="104"/>
        <v>32330</v>
      </c>
      <c r="T240" s="12"/>
      <c r="U240" s="12"/>
      <c r="V240" s="12"/>
      <c r="W240" s="12">
        <v>32330</v>
      </c>
      <c r="X240" s="12">
        <f t="shared" si="102"/>
        <v>32330</v>
      </c>
      <c r="Y240" s="12"/>
      <c r="Z240" s="12"/>
      <c r="AA240" s="12"/>
      <c r="AB240" s="12">
        <v>32330</v>
      </c>
      <c r="AC240" s="12">
        <f t="shared" si="103"/>
        <v>32330</v>
      </c>
      <c r="AD240" s="12"/>
      <c r="AE240" s="12"/>
      <c r="AF240" s="12"/>
      <c r="AG240" s="12">
        <v>32330</v>
      </c>
    </row>
    <row r="241" spans="1:33" ht="35.1" customHeight="1">
      <c r="A241" s="80"/>
      <c r="B241" s="15"/>
      <c r="C241" s="223"/>
      <c r="D241" s="203"/>
      <c r="E241" s="203"/>
      <c r="F241" s="23"/>
      <c r="G241" s="12"/>
      <c r="H241" s="12"/>
      <c r="I241" s="49"/>
      <c r="J241" s="12"/>
      <c r="K241" s="12"/>
      <c r="L241" s="12"/>
      <c r="M241" s="23" t="s">
        <v>364</v>
      </c>
      <c r="N241" s="12">
        <f t="shared" si="101"/>
        <v>2474.5</v>
      </c>
      <c r="O241" s="12"/>
      <c r="P241" s="12">
        <v>2474.5</v>
      </c>
      <c r="Q241" s="12"/>
      <c r="R241" s="12"/>
      <c r="S241" s="12"/>
      <c r="T241" s="12"/>
      <c r="U241" s="12"/>
      <c r="V241" s="12"/>
      <c r="W241" s="12"/>
      <c r="X241" s="12"/>
      <c r="Y241" s="12"/>
      <c r="Z241" s="12"/>
      <c r="AA241" s="12"/>
      <c r="AB241" s="12"/>
      <c r="AC241" s="12"/>
      <c r="AD241" s="12"/>
      <c r="AE241" s="12"/>
      <c r="AF241" s="12"/>
      <c r="AG241" s="12"/>
    </row>
    <row r="242" spans="1:33" ht="35.1" customHeight="1">
      <c r="A242" s="80"/>
      <c r="B242" s="15"/>
      <c r="C242" s="223"/>
      <c r="D242" s="203"/>
      <c r="E242" s="203"/>
      <c r="F242" s="23"/>
      <c r="G242" s="12"/>
      <c r="H242" s="12"/>
      <c r="I242" s="39" t="s">
        <v>781</v>
      </c>
      <c r="J242" s="12" t="s">
        <v>71</v>
      </c>
      <c r="K242" s="23" t="s">
        <v>782</v>
      </c>
      <c r="L242" s="12"/>
      <c r="M242" s="23" t="s">
        <v>365</v>
      </c>
      <c r="N242" s="12">
        <f t="shared" si="101"/>
        <v>10340.5</v>
      </c>
      <c r="O242" s="12"/>
      <c r="P242" s="12">
        <v>1132.5999999999999</v>
      </c>
      <c r="Q242" s="12"/>
      <c r="R242" s="12">
        <f>8351+856.9</f>
        <v>9207.9</v>
      </c>
      <c r="S242" s="12">
        <f t="shared" si="104"/>
        <v>8351</v>
      </c>
      <c r="T242" s="12"/>
      <c r="U242" s="12"/>
      <c r="V242" s="12"/>
      <c r="W242" s="12">
        <v>8351</v>
      </c>
      <c r="X242" s="12">
        <f t="shared" si="102"/>
        <v>8351</v>
      </c>
      <c r="Y242" s="12"/>
      <c r="Z242" s="12"/>
      <c r="AA242" s="12"/>
      <c r="AB242" s="12">
        <v>8351</v>
      </c>
      <c r="AC242" s="12">
        <f t="shared" si="103"/>
        <v>8351</v>
      </c>
      <c r="AD242" s="12"/>
      <c r="AE242" s="12"/>
      <c r="AF242" s="12"/>
      <c r="AG242" s="12">
        <v>8351</v>
      </c>
    </row>
    <row r="243" spans="1:33" ht="35.1" customHeight="1" thickBot="1">
      <c r="A243" s="86"/>
      <c r="B243" s="47"/>
      <c r="C243" s="153"/>
      <c r="D243" s="153"/>
      <c r="E243" s="153"/>
      <c r="F243" s="25"/>
      <c r="G243" s="25"/>
      <c r="H243" s="25"/>
      <c r="I243" s="209"/>
      <c r="J243" s="209"/>
      <c r="K243" s="209"/>
      <c r="L243" s="12"/>
      <c r="M243" s="23" t="s">
        <v>366</v>
      </c>
      <c r="N243" s="12">
        <f t="shared" si="101"/>
        <v>3899.5</v>
      </c>
      <c r="O243" s="12"/>
      <c r="P243" s="12">
        <v>266.5</v>
      </c>
      <c r="Q243" s="12"/>
      <c r="R243" s="12">
        <f>3339.3+293.6+0.1</f>
        <v>3633</v>
      </c>
      <c r="S243" s="12">
        <f t="shared" si="104"/>
        <v>3339.3</v>
      </c>
      <c r="T243" s="12"/>
      <c r="U243" s="12"/>
      <c r="V243" s="12"/>
      <c r="W243" s="12">
        <v>3339.3</v>
      </c>
      <c r="X243" s="12">
        <f>Y243+Z243+AA243+AB243</f>
        <v>3339.3</v>
      </c>
      <c r="Y243" s="12"/>
      <c r="Z243" s="12"/>
      <c r="AA243" s="12"/>
      <c r="AB243" s="12">
        <v>3339.3</v>
      </c>
      <c r="AC243" s="12">
        <f t="shared" si="103"/>
        <v>3339.3</v>
      </c>
      <c r="AD243" s="12"/>
      <c r="AE243" s="12"/>
      <c r="AF243" s="12"/>
      <c r="AG243" s="12">
        <v>3339.3</v>
      </c>
    </row>
    <row r="244" spans="1:33" ht="35.1" customHeight="1" thickBot="1">
      <c r="A244" s="86"/>
      <c r="B244" s="78"/>
      <c r="C244" s="25"/>
      <c r="D244" s="25"/>
      <c r="E244" s="25"/>
      <c r="F244" s="25"/>
      <c r="G244" s="25"/>
      <c r="H244" s="25"/>
      <c r="I244" s="25"/>
      <c r="J244" s="25"/>
      <c r="K244" s="25"/>
      <c r="L244" s="12"/>
      <c r="M244" s="23" t="s">
        <v>367</v>
      </c>
      <c r="N244" s="12">
        <f t="shared" si="101"/>
        <v>315.5</v>
      </c>
      <c r="O244" s="12"/>
      <c r="P244" s="12">
        <f>319.3-3.8</f>
        <v>315.5</v>
      </c>
      <c r="Q244" s="12"/>
      <c r="R244" s="12"/>
      <c r="S244" s="12">
        <v>0</v>
      </c>
      <c r="T244" s="12"/>
      <c r="U244" s="12">
        <v>0</v>
      </c>
      <c r="V244" s="12"/>
      <c r="W244" s="12"/>
      <c r="X244" s="12">
        <v>0</v>
      </c>
      <c r="Y244" s="12"/>
      <c r="Z244" s="12">
        <v>0</v>
      </c>
      <c r="AA244" s="12"/>
      <c r="AB244" s="12"/>
      <c r="AC244" s="12">
        <v>0</v>
      </c>
      <c r="AD244" s="12"/>
      <c r="AE244" s="12">
        <v>0</v>
      </c>
      <c r="AF244" s="12"/>
      <c r="AG244" s="12"/>
    </row>
    <row r="245" spans="1:33" ht="35.1" customHeight="1" thickBot="1">
      <c r="A245" s="86"/>
      <c r="B245" s="78"/>
      <c r="C245" s="25"/>
      <c r="D245" s="25"/>
      <c r="E245" s="25"/>
      <c r="F245" s="25"/>
      <c r="G245" s="25"/>
      <c r="H245" s="25"/>
      <c r="I245" s="25" t="s">
        <v>198</v>
      </c>
      <c r="J245" s="25" t="s">
        <v>111</v>
      </c>
      <c r="K245" s="63" t="s">
        <v>656</v>
      </c>
      <c r="L245" s="12"/>
      <c r="M245" s="23" t="s">
        <v>368</v>
      </c>
      <c r="N245" s="12">
        <f t="shared" si="101"/>
        <v>533.5</v>
      </c>
      <c r="O245" s="12"/>
      <c r="P245" s="12">
        <v>66.599999999999994</v>
      </c>
      <c r="Q245" s="12"/>
      <c r="R245" s="12">
        <f>466.4+0.5</f>
        <v>466.9</v>
      </c>
      <c r="S245" s="12">
        <f t="shared" si="104"/>
        <v>466.4</v>
      </c>
      <c r="T245" s="12"/>
      <c r="U245" s="12"/>
      <c r="V245" s="12"/>
      <c r="W245" s="12">
        <v>466.4</v>
      </c>
      <c r="X245" s="12">
        <f t="shared" si="102"/>
        <v>466.4</v>
      </c>
      <c r="Y245" s="12"/>
      <c r="Z245" s="12"/>
      <c r="AA245" s="12"/>
      <c r="AB245" s="12">
        <v>466.4</v>
      </c>
      <c r="AC245" s="12">
        <f t="shared" si="103"/>
        <v>466.4</v>
      </c>
      <c r="AD245" s="12"/>
      <c r="AE245" s="12"/>
      <c r="AF245" s="12"/>
      <c r="AG245" s="12">
        <v>466.4</v>
      </c>
    </row>
    <row r="246" spans="1:33" ht="35.1" customHeight="1" thickBot="1">
      <c r="A246" s="86"/>
      <c r="B246" s="78"/>
      <c r="C246" s="194"/>
      <c r="D246" s="194"/>
      <c r="E246" s="194"/>
      <c r="F246" s="194"/>
      <c r="G246" s="194"/>
      <c r="H246" s="194"/>
      <c r="I246" s="194" t="s">
        <v>241</v>
      </c>
      <c r="J246" s="194" t="s">
        <v>111</v>
      </c>
      <c r="K246" s="7" t="s">
        <v>671</v>
      </c>
      <c r="L246" s="12"/>
      <c r="M246" s="23" t="s">
        <v>369</v>
      </c>
      <c r="N246" s="12">
        <f t="shared" si="101"/>
        <v>3737.3</v>
      </c>
      <c r="O246" s="12"/>
      <c r="P246" s="12">
        <v>199.9</v>
      </c>
      <c r="Q246" s="12"/>
      <c r="R246" s="12">
        <f>3163.6+373.8</f>
        <v>3537.4</v>
      </c>
      <c r="S246" s="12">
        <f t="shared" si="104"/>
        <v>3163.6</v>
      </c>
      <c r="T246" s="12"/>
      <c r="U246" s="12"/>
      <c r="V246" s="12"/>
      <c r="W246" s="12">
        <v>3163.6</v>
      </c>
      <c r="X246" s="12">
        <f t="shared" si="102"/>
        <v>3163.6</v>
      </c>
      <c r="Y246" s="12"/>
      <c r="Z246" s="12"/>
      <c r="AA246" s="12"/>
      <c r="AB246" s="12">
        <v>3163.6</v>
      </c>
      <c r="AC246" s="12">
        <f t="shared" si="103"/>
        <v>3163.6</v>
      </c>
      <c r="AD246" s="12"/>
      <c r="AE246" s="12"/>
      <c r="AF246" s="12"/>
      <c r="AG246" s="12">
        <v>3163.6</v>
      </c>
    </row>
    <row r="247" spans="1:33" ht="35.1" customHeight="1" thickBot="1">
      <c r="A247" s="86"/>
      <c r="B247" s="78"/>
      <c r="C247" s="194"/>
      <c r="D247" s="194"/>
      <c r="E247" s="194"/>
      <c r="F247" s="194"/>
      <c r="G247" s="194"/>
      <c r="H247" s="194"/>
      <c r="I247" s="61"/>
      <c r="J247" s="194"/>
      <c r="K247" s="7"/>
      <c r="L247" s="12"/>
      <c r="M247" s="23" t="s">
        <v>370</v>
      </c>
      <c r="N247" s="12">
        <f t="shared" si="101"/>
        <v>299.3</v>
      </c>
      <c r="O247" s="12"/>
      <c r="P247" s="12">
        <f>319.3-20</f>
        <v>299.3</v>
      </c>
      <c r="Q247" s="12"/>
      <c r="R247" s="12"/>
      <c r="S247" s="12">
        <v>0</v>
      </c>
      <c r="T247" s="12"/>
      <c r="U247" s="12">
        <v>0</v>
      </c>
      <c r="V247" s="12"/>
      <c r="W247" s="12"/>
      <c r="X247" s="12">
        <v>0</v>
      </c>
      <c r="Y247" s="12"/>
      <c r="Z247" s="12">
        <v>0</v>
      </c>
      <c r="AA247" s="12"/>
      <c r="AB247" s="12"/>
      <c r="AC247" s="12">
        <v>0</v>
      </c>
      <c r="AD247" s="12"/>
      <c r="AE247" s="12">
        <v>0</v>
      </c>
      <c r="AF247" s="12"/>
      <c r="AG247" s="12"/>
    </row>
    <row r="248" spans="1:33" ht="35.1" customHeight="1" thickBot="1">
      <c r="A248" s="86"/>
      <c r="B248" s="78"/>
      <c r="C248" s="209"/>
      <c r="D248" s="209"/>
      <c r="E248" s="209"/>
      <c r="F248" s="209"/>
      <c r="G248" s="209"/>
      <c r="H248" s="209"/>
      <c r="I248" s="55" t="s">
        <v>327</v>
      </c>
      <c r="J248" s="15" t="s">
        <v>71</v>
      </c>
      <c r="K248" s="55" t="s">
        <v>652</v>
      </c>
      <c r="L248" s="12"/>
      <c r="M248" s="23" t="s">
        <v>371</v>
      </c>
      <c r="N248" s="12">
        <f t="shared" si="101"/>
        <v>2207.1000000000004</v>
      </c>
      <c r="O248" s="12"/>
      <c r="P248" s="12">
        <v>133.30000000000001</v>
      </c>
      <c r="Q248" s="12"/>
      <c r="R248" s="12">
        <f>1706.4-0.1+367.5</f>
        <v>2073.8000000000002</v>
      </c>
      <c r="S248" s="12">
        <f t="shared" si="104"/>
        <v>1706.4</v>
      </c>
      <c r="T248" s="12"/>
      <c r="U248" s="12"/>
      <c r="V248" s="12"/>
      <c r="W248" s="12">
        <v>1706.4</v>
      </c>
      <c r="X248" s="12">
        <f t="shared" si="102"/>
        <v>1706.4</v>
      </c>
      <c r="Y248" s="12"/>
      <c r="Z248" s="12"/>
      <c r="AA248" s="12"/>
      <c r="AB248" s="12">
        <v>1706.4</v>
      </c>
      <c r="AC248" s="12">
        <f t="shared" si="103"/>
        <v>1706.4</v>
      </c>
      <c r="AD248" s="12"/>
      <c r="AE248" s="12"/>
      <c r="AF248" s="12"/>
      <c r="AG248" s="12">
        <v>1706.4</v>
      </c>
    </row>
    <row r="249" spans="1:33" ht="35.1" customHeight="1" thickBot="1">
      <c r="A249" s="86"/>
      <c r="B249" s="78"/>
      <c r="C249" s="209"/>
      <c r="D249" s="209"/>
      <c r="E249" s="209"/>
      <c r="F249" s="209"/>
      <c r="G249" s="209"/>
      <c r="H249" s="209"/>
      <c r="I249" s="185"/>
      <c r="J249" s="15"/>
      <c r="K249" s="227"/>
      <c r="L249" s="12"/>
      <c r="M249" s="23" t="s">
        <v>372</v>
      </c>
      <c r="N249" s="12">
        <f t="shared" si="101"/>
        <v>239.5</v>
      </c>
      <c r="O249" s="12"/>
      <c r="P249" s="12">
        <v>239.5</v>
      </c>
      <c r="Q249" s="12"/>
      <c r="R249" s="12"/>
      <c r="S249" s="12">
        <v>0</v>
      </c>
      <c r="T249" s="12"/>
      <c r="U249" s="12">
        <v>0</v>
      </c>
      <c r="V249" s="12"/>
      <c r="W249" s="12"/>
      <c r="X249" s="12">
        <v>0</v>
      </c>
      <c r="Y249" s="12"/>
      <c r="Z249" s="12">
        <v>0</v>
      </c>
      <c r="AA249" s="12"/>
      <c r="AB249" s="12"/>
      <c r="AC249" s="12">
        <v>0</v>
      </c>
      <c r="AD249" s="12"/>
      <c r="AE249" s="12">
        <v>0</v>
      </c>
      <c r="AF249" s="12"/>
      <c r="AG249" s="12"/>
    </row>
    <row r="250" spans="1:33" ht="35.1" customHeight="1" thickBot="1">
      <c r="A250" s="86"/>
      <c r="B250" s="78"/>
      <c r="C250" s="194"/>
      <c r="D250" s="194"/>
      <c r="E250" s="194"/>
      <c r="F250" s="194"/>
      <c r="G250" s="194"/>
      <c r="H250" s="194"/>
      <c r="I250" s="194" t="s">
        <v>686</v>
      </c>
      <c r="J250" s="194" t="s">
        <v>111</v>
      </c>
      <c r="K250" s="55" t="s">
        <v>689</v>
      </c>
      <c r="L250" s="12"/>
      <c r="M250" s="23" t="s">
        <v>373</v>
      </c>
      <c r="N250" s="12">
        <f t="shared" si="101"/>
        <v>3036.7000000000003</v>
      </c>
      <c r="O250" s="12"/>
      <c r="P250" s="12">
        <v>199.9</v>
      </c>
      <c r="Q250" s="12"/>
      <c r="R250" s="12">
        <f>2706.3+130.5</f>
        <v>2836.8</v>
      </c>
      <c r="S250" s="12">
        <f t="shared" si="104"/>
        <v>2706.3</v>
      </c>
      <c r="T250" s="12"/>
      <c r="U250" s="12"/>
      <c r="V250" s="12"/>
      <c r="W250" s="12">
        <v>2706.3</v>
      </c>
      <c r="X250" s="12">
        <f t="shared" si="102"/>
        <v>2706.3</v>
      </c>
      <c r="Y250" s="12"/>
      <c r="Z250" s="12"/>
      <c r="AA250" s="12"/>
      <c r="AB250" s="12">
        <v>2706.3</v>
      </c>
      <c r="AC250" s="12">
        <f t="shared" si="103"/>
        <v>2706.3</v>
      </c>
      <c r="AD250" s="12"/>
      <c r="AE250" s="12"/>
      <c r="AF250" s="12"/>
      <c r="AG250" s="12">
        <v>2706.3</v>
      </c>
    </row>
    <row r="251" spans="1:33" ht="35.1" customHeight="1" thickBot="1">
      <c r="A251" s="86"/>
      <c r="B251" s="78"/>
      <c r="C251" s="194"/>
      <c r="D251" s="194"/>
      <c r="E251" s="194"/>
      <c r="F251" s="194"/>
      <c r="G251" s="194"/>
      <c r="H251" s="194"/>
      <c r="I251" s="192" t="s">
        <v>645</v>
      </c>
      <c r="J251" s="194" t="s">
        <v>111</v>
      </c>
      <c r="K251" s="55" t="s">
        <v>648</v>
      </c>
      <c r="L251" s="12"/>
      <c r="M251" s="23" t="s">
        <v>374</v>
      </c>
      <c r="N251" s="12">
        <f t="shared" si="101"/>
        <v>226</v>
      </c>
      <c r="O251" s="12"/>
      <c r="P251" s="12">
        <f>239.5-13.5</f>
        <v>226</v>
      </c>
      <c r="Q251" s="12"/>
      <c r="R251" s="12"/>
      <c r="S251" s="12">
        <v>0</v>
      </c>
      <c r="T251" s="12"/>
      <c r="U251" s="12">
        <v>0</v>
      </c>
      <c r="V251" s="12"/>
      <c r="W251" s="12"/>
      <c r="X251" s="12">
        <v>0</v>
      </c>
      <c r="Y251" s="12"/>
      <c r="Z251" s="12">
        <v>0</v>
      </c>
      <c r="AA251" s="12"/>
      <c r="AB251" s="12"/>
      <c r="AC251" s="12">
        <v>0</v>
      </c>
      <c r="AD251" s="12"/>
      <c r="AE251" s="12">
        <v>0</v>
      </c>
      <c r="AF251" s="12"/>
      <c r="AG251" s="12"/>
    </row>
    <row r="252" spans="1:33" ht="35.1" customHeight="1" thickBot="1">
      <c r="A252" s="86"/>
      <c r="B252" s="78"/>
      <c r="C252" s="194"/>
      <c r="D252" s="194"/>
      <c r="E252" s="194"/>
      <c r="F252" s="194"/>
      <c r="G252" s="194"/>
      <c r="H252" s="194"/>
      <c r="I252" s="194" t="s">
        <v>376</v>
      </c>
      <c r="J252" s="194" t="s">
        <v>111</v>
      </c>
      <c r="K252" s="228" t="s">
        <v>757</v>
      </c>
      <c r="L252" s="12"/>
      <c r="M252" s="23" t="s">
        <v>375</v>
      </c>
      <c r="N252" s="12">
        <f t="shared" si="101"/>
        <v>787.80000000000007</v>
      </c>
      <c r="O252" s="12"/>
      <c r="P252" s="12">
        <v>66.599999999999994</v>
      </c>
      <c r="Q252" s="12"/>
      <c r="R252" s="12">
        <f>587.2+134</f>
        <v>721.2</v>
      </c>
      <c r="S252" s="12">
        <f t="shared" si="104"/>
        <v>587.20000000000005</v>
      </c>
      <c r="T252" s="12"/>
      <c r="U252" s="12"/>
      <c r="V252" s="12"/>
      <c r="W252" s="12">
        <v>587.20000000000005</v>
      </c>
      <c r="X252" s="12">
        <f t="shared" si="102"/>
        <v>587.20000000000005</v>
      </c>
      <c r="Y252" s="12"/>
      <c r="Z252" s="12"/>
      <c r="AA252" s="12"/>
      <c r="AB252" s="12">
        <v>587.20000000000005</v>
      </c>
      <c r="AC252" s="12">
        <f t="shared" si="103"/>
        <v>587.20000000000005</v>
      </c>
      <c r="AD252" s="12"/>
      <c r="AE252" s="12"/>
      <c r="AF252" s="12"/>
      <c r="AG252" s="12">
        <v>587.20000000000005</v>
      </c>
    </row>
    <row r="253" spans="1:33" ht="35.1" customHeight="1">
      <c r="A253" s="80"/>
      <c r="B253" s="15"/>
      <c r="C253" s="198"/>
      <c r="D253" s="29"/>
      <c r="E253" s="29"/>
      <c r="F253" s="198"/>
      <c r="G253" s="11"/>
      <c r="H253" s="11"/>
      <c r="I253" s="204"/>
      <c r="J253" s="198"/>
      <c r="K253" s="205"/>
      <c r="L253" s="12"/>
      <c r="M253" s="23" t="s">
        <v>377</v>
      </c>
      <c r="N253" s="12">
        <f>O253+P253+Q253+R253</f>
        <v>12318.4</v>
      </c>
      <c r="O253" s="12"/>
      <c r="P253" s="12">
        <v>732.9</v>
      </c>
      <c r="Q253" s="12"/>
      <c r="R253" s="12">
        <f>9455.5+2130</f>
        <v>11585.5</v>
      </c>
      <c r="S253" s="12">
        <f>T253+U253+V253+W253</f>
        <v>9455.5</v>
      </c>
      <c r="T253" s="12"/>
      <c r="U253" s="12"/>
      <c r="V253" s="12"/>
      <c r="W253" s="12">
        <v>9455.5</v>
      </c>
      <c r="X253" s="12">
        <f>Y253+Z253+AA253+AB253</f>
        <v>9455.5</v>
      </c>
      <c r="Y253" s="12"/>
      <c r="Z253" s="12"/>
      <c r="AA253" s="12"/>
      <c r="AB253" s="12">
        <v>9455.5</v>
      </c>
      <c r="AC253" s="12">
        <f>AD253+AE253+AF253+AG253</f>
        <v>9455.5</v>
      </c>
      <c r="AD253" s="12"/>
      <c r="AE253" s="12"/>
      <c r="AF253" s="12"/>
      <c r="AG253" s="12">
        <v>9455.5</v>
      </c>
    </row>
    <row r="254" spans="1:33" ht="35.1" customHeight="1">
      <c r="A254" s="80"/>
      <c r="B254" s="15"/>
      <c r="C254" s="198"/>
      <c r="D254" s="29"/>
      <c r="E254" s="29"/>
      <c r="F254" s="198"/>
      <c r="G254" s="11"/>
      <c r="H254" s="11"/>
      <c r="I254" s="204"/>
      <c r="J254" s="198"/>
      <c r="K254" s="205"/>
      <c r="L254" s="12"/>
      <c r="M254" s="23" t="s">
        <v>378</v>
      </c>
      <c r="N254" s="12">
        <f>O254+P254+Q254+R254</f>
        <v>878</v>
      </c>
      <c r="O254" s="12"/>
      <c r="P254" s="12">
        <v>878</v>
      </c>
      <c r="Q254" s="12"/>
      <c r="R254" s="12"/>
      <c r="S254" s="12">
        <v>0</v>
      </c>
      <c r="T254" s="12"/>
      <c r="U254" s="12">
        <v>0</v>
      </c>
      <c r="V254" s="12"/>
      <c r="W254" s="12"/>
      <c r="X254" s="12">
        <v>0</v>
      </c>
      <c r="Y254" s="12"/>
      <c r="Z254" s="12">
        <v>0</v>
      </c>
      <c r="AA254" s="12"/>
      <c r="AB254" s="12"/>
      <c r="AC254" s="12">
        <v>0</v>
      </c>
      <c r="AD254" s="12"/>
      <c r="AE254" s="12">
        <v>0</v>
      </c>
      <c r="AF254" s="12"/>
      <c r="AG254" s="12"/>
    </row>
    <row r="255" spans="1:33" ht="35.1" customHeight="1">
      <c r="A255" s="80"/>
      <c r="B255" s="15"/>
      <c r="C255" s="198"/>
      <c r="D255" s="29"/>
      <c r="E255" s="29"/>
      <c r="F255" s="194"/>
      <c r="G255" s="198"/>
      <c r="H255" s="198"/>
      <c r="I255" s="39" t="s">
        <v>783</v>
      </c>
      <c r="J255" s="171" t="s">
        <v>71</v>
      </c>
      <c r="K255" s="39" t="s">
        <v>782</v>
      </c>
      <c r="L255" s="12"/>
      <c r="M255" s="23" t="s">
        <v>379</v>
      </c>
      <c r="N255" s="12">
        <f>O255+P255+Q255+R255</f>
        <v>773.1</v>
      </c>
      <c r="O255" s="12"/>
      <c r="P255" s="12">
        <v>66.7</v>
      </c>
      <c r="Q255" s="12"/>
      <c r="R255" s="12">
        <f>706.5-0.1</f>
        <v>706.4</v>
      </c>
      <c r="S255" s="12">
        <f>T255+U255+V255+W255</f>
        <v>706.5</v>
      </c>
      <c r="T255" s="12"/>
      <c r="U255" s="12"/>
      <c r="V255" s="12"/>
      <c r="W255" s="12">
        <v>706.5</v>
      </c>
      <c r="X255" s="12">
        <f t="shared" si="102"/>
        <v>706.5</v>
      </c>
      <c r="Y255" s="12"/>
      <c r="Z255" s="12"/>
      <c r="AA255" s="12"/>
      <c r="AB255" s="12">
        <v>706.5</v>
      </c>
      <c r="AC255" s="12">
        <f>AD255+AE255+AF255+AG255</f>
        <v>706.5</v>
      </c>
      <c r="AD255" s="12"/>
      <c r="AE255" s="12"/>
      <c r="AF255" s="12"/>
      <c r="AG255" s="12">
        <v>706.5</v>
      </c>
    </row>
    <row r="256" spans="1:33" ht="35.1" customHeight="1" thickBot="1">
      <c r="A256" s="13" t="s">
        <v>380</v>
      </c>
      <c r="B256" s="9">
        <v>2601</v>
      </c>
      <c r="C256" s="198"/>
      <c r="D256" s="29"/>
      <c r="E256" s="29"/>
      <c r="F256" s="194"/>
      <c r="G256" s="198"/>
      <c r="H256" s="198"/>
      <c r="I256" s="198"/>
      <c r="J256" s="198"/>
      <c r="K256" s="198"/>
      <c r="L256" s="37">
        <v>13</v>
      </c>
      <c r="M256" s="23"/>
      <c r="N256" s="37"/>
      <c r="O256" s="37"/>
      <c r="P256" s="37"/>
      <c r="Q256" s="37"/>
      <c r="R256" s="37"/>
      <c r="S256" s="37"/>
      <c r="T256" s="37"/>
      <c r="U256" s="37"/>
      <c r="V256" s="37"/>
      <c r="W256" s="37"/>
      <c r="X256" s="37"/>
      <c r="Y256" s="37"/>
      <c r="Z256" s="37"/>
      <c r="AA256" s="37"/>
      <c r="AB256" s="37"/>
      <c r="AC256" s="37"/>
      <c r="AD256" s="37"/>
      <c r="AE256" s="37"/>
      <c r="AF256" s="37"/>
      <c r="AG256" s="37"/>
    </row>
    <row r="257" spans="1:33" ht="35.1" customHeight="1" thickBot="1">
      <c r="A257" s="16" t="s">
        <v>381</v>
      </c>
      <c r="B257" s="9">
        <v>2602</v>
      </c>
      <c r="C257" s="85"/>
      <c r="D257" s="88"/>
      <c r="E257" s="88"/>
      <c r="F257" s="89"/>
      <c r="G257" s="85"/>
      <c r="H257" s="85"/>
      <c r="I257" s="90"/>
      <c r="J257" s="85"/>
      <c r="K257" s="85"/>
      <c r="L257" s="19"/>
      <c r="M257" s="184"/>
      <c r="N257" s="19">
        <f t="shared" ref="N257:AG257" si="105">N258</f>
        <v>0</v>
      </c>
      <c r="O257" s="19">
        <f t="shared" si="105"/>
        <v>0</v>
      </c>
      <c r="P257" s="19">
        <f t="shared" si="105"/>
        <v>0</v>
      </c>
      <c r="Q257" s="19">
        <f t="shared" si="105"/>
        <v>0</v>
      </c>
      <c r="R257" s="19">
        <f t="shared" si="105"/>
        <v>0</v>
      </c>
      <c r="S257" s="19">
        <f t="shared" si="105"/>
        <v>0</v>
      </c>
      <c r="T257" s="19">
        <f t="shared" si="105"/>
        <v>0</v>
      </c>
      <c r="U257" s="19">
        <f t="shared" si="105"/>
        <v>0</v>
      </c>
      <c r="V257" s="19">
        <f t="shared" si="105"/>
        <v>0</v>
      </c>
      <c r="W257" s="19">
        <f t="shared" si="105"/>
        <v>0</v>
      </c>
      <c r="X257" s="19">
        <f t="shared" si="105"/>
        <v>0</v>
      </c>
      <c r="Y257" s="19">
        <f t="shared" si="105"/>
        <v>0</v>
      </c>
      <c r="Z257" s="19">
        <f t="shared" si="105"/>
        <v>0</v>
      </c>
      <c r="AA257" s="19">
        <f t="shared" si="105"/>
        <v>0</v>
      </c>
      <c r="AB257" s="19">
        <f t="shared" si="105"/>
        <v>0</v>
      </c>
      <c r="AC257" s="19">
        <f t="shared" si="105"/>
        <v>0</v>
      </c>
      <c r="AD257" s="19">
        <f t="shared" si="105"/>
        <v>0</v>
      </c>
      <c r="AE257" s="19">
        <f t="shared" si="105"/>
        <v>0</v>
      </c>
      <c r="AF257" s="19">
        <f t="shared" si="105"/>
        <v>0</v>
      </c>
      <c r="AG257" s="19">
        <f t="shared" si="105"/>
        <v>0</v>
      </c>
    </row>
    <row r="258" spans="1:33" ht="35.1" customHeight="1" thickBot="1">
      <c r="A258" s="13"/>
      <c r="B258" s="91"/>
      <c r="C258" s="22" t="s">
        <v>76</v>
      </c>
      <c r="D258" s="22" t="s">
        <v>382</v>
      </c>
      <c r="E258" s="22" t="s">
        <v>107</v>
      </c>
      <c r="F258" s="194"/>
      <c r="G258" s="81"/>
      <c r="H258" s="81"/>
      <c r="I258" s="39" t="s">
        <v>791</v>
      </c>
      <c r="J258" s="39" t="s">
        <v>792</v>
      </c>
      <c r="K258" s="166" t="s">
        <v>640</v>
      </c>
      <c r="L258" s="37">
        <v>13</v>
      </c>
      <c r="M258" s="184" t="s">
        <v>383</v>
      </c>
      <c r="N258" s="37">
        <f>R258</f>
        <v>0</v>
      </c>
      <c r="O258" s="37"/>
      <c r="P258" s="37"/>
      <c r="Q258" s="37"/>
      <c r="R258" s="37">
        <v>0</v>
      </c>
      <c r="S258" s="37">
        <v>0</v>
      </c>
      <c r="T258" s="37"/>
      <c r="U258" s="37"/>
      <c r="V258" s="37"/>
      <c r="W258" s="37">
        <v>0</v>
      </c>
      <c r="X258" s="37">
        <v>0</v>
      </c>
      <c r="Y258" s="37"/>
      <c r="Z258" s="37"/>
      <c r="AA258" s="37"/>
      <c r="AB258" s="37">
        <v>0</v>
      </c>
      <c r="AC258" s="37">
        <v>0</v>
      </c>
      <c r="AD258" s="37"/>
      <c r="AE258" s="37"/>
      <c r="AF258" s="37"/>
      <c r="AG258" s="37">
        <v>0</v>
      </c>
    </row>
    <row r="259" spans="1:33" ht="35.1" customHeight="1" thickBot="1">
      <c r="A259" s="16" t="s">
        <v>384</v>
      </c>
      <c r="B259" s="56">
        <v>2608</v>
      </c>
      <c r="C259" s="22"/>
      <c r="D259" s="22"/>
      <c r="E259" s="22"/>
      <c r="F259" s="19"/>
      <c r="G259" s="42"/>
      <c r="H259" s="42"/>
      <c r="I259" s="87"/>
      <c r="J259" s="81"/>
      <c r="K259" s="81"/>
      <c r="L259" s="42">
        <v>1</v>
      </c>
      <c r="M259" s="19"/>
      <c r="N259" s="19">
        <f>N260+N261+N262+N263+N264+N265+N266+N267+N269+N268</f>
        <v>58260.7</v>
      </c>
      <c r="O259" s="19">
        <f t="shared" ref="O259:AG259" si="106">O260+O261+O262+O263+O264+O265+O266+O267+O269+O268</f>
        <v>0</v>
      </c>
      <c r="P259" s="19">
        <f t="shared" si="106"/>
        <v>4597.5</v>
      </c>
      <c r="Q259" s="19">
        <f t="shared" si="106"/>
        <v>0</v>
      </c>
      <c r="R259" s="19">
        <f t="shared" si="106"/>
        <v>53663.200000000004</v>
      </c>
      <c r="S259" s="19">
        <f t="shared" si="106"/>
        <v>49949.8</v>
      </c>
      <c r="T259" s="19">
        <f t="shared" si="106"/>
        <v>0</v>
      </c>
      <c r="U259" s="19">
        <f t="shared" si="106"/>
        <v>0</v>
      </c>
      <c r="V259" s="19">
        <f t="shared" si="106"/>
        <v>0</v>
      </c>
      <c r="W259" s="19">
        <f t="shared" si="106"/>
        <v>49949.8</v>
      </c>
      <c r="X259" s="19">
        <f t="shared" si="106"/>
        <v>49949.8</v>
      </c>
      <c r="Y259" s="19">
        <f t="shared" si="106"/>
        <v>0</v>
      </c>
      <c r="Z259" s="19">
        <f t="shared" si="106"/>
        <v>0</v>
      </c>
      <c r="AA259" s="19">
        <f t="shared" si="106"/>
        <v>0</v>
      </c>
      <c r="AB259" s="19">
        <f t="shared" si="106"/>
        <v>49949.8</v>
      </c>
      <c r="AC259" s="19">
        <f t="shared" si="106"/>
        <v>49949.8</v>
      </c>
      <c r="AD259" s="19">
        <f t="shared" si="106"/>
        <v>0</v>
      </c>
      <c r="AE259" s="19">
        <f t="shared" si="106"/>
        <v>0</v>
      </c>
      <c r="AF259" s="19">
        <f t="shared" si="106"/>
        <v>0</v>
      </c>
      <c r="AG259" s="19">
        <f t="shared" si="106"/>
        <v>49949.8</v>
      </c>
    </row>
    <row r="260" spans="1:33" ht="35.1" customHeight="1">
      <c r="A260" s="35"/>
      <c r="B260" s="53"/>
      <c r="C260" s="289" t="s">
        <v>23</v>
      </c>
      <c r="D260" s="149" t="s">
        <v>61</v>
      </c>
      <c r="E260" s="189" t="s">
        <v>62</v>
      </c>
      <c r="F260" s="193"/>
      <c r="G260" s="151"/>
      <c r="H260" s="183"/>
      <c r="I260" s="25" t="s">
        <v>29</v>
      </c>
      <c r="J260" s="25" t="s">
        <v>771</v>
      </c>
      <c r="K260" s="26" t="s">
        <v>30</v>
      </c>
      <c r="L260" s="12"/>
      <c r="M260" s="23" t="s">
        <v>385</v>
      </c>
      <c r="N260" s="12">
        <f t="shared" ref="N260:N269" si="107">O260+P260+Q260+R260</f>
        <v>8033.7</v>
      </c>
      <c r="O260" s="12"/>
      <c r="P260" s="12">
        <v>954.2</v>
      </c>
      <c r="Q260" s="12"/>
      <c r="R260" s="12">
        <f>6949.3+130.2</f>
        <v>7079.5</v>
      </c>
      <c r="S260" s="12">
        <f t="shared" ref="S260:S266" si="108">T260+U260+V260+W260</f>
        <v>6949.3</v>
      </c>
      <c r="T260" s="12"/>
      <c r="U260" s="12"/>
      <c r="V260" s="12"/>
      <c r="W260" s="12">
        <v>6949.3</v>
      </c>
      <c r="X260" s="12">
        <f t="shared" ref="X260:X269" si="109">Y260+Z260+AA260+AB260</f>
        <v>6949.3</v>
      </c>
      <c r="Y260" s="12"/>
      <c r="Z260" s="12"/>
      <c r="AA260" s="12"/>
      <c r="AB260" s="12">
        <v>6949.3</v>
      </c>
      <c r="AC260" s="12">
        <f t="shared" ref="AC260:AC266" si="110">AD260+AE260+AF260+AG260</f>
        <v>6949.3</v>
      </c>
      <c r="AD260" s="12"/>
      <c r="AE260" s="12"/>
      <c r="AF260" s="12"/>
      <c r="AG260" s="12">
        <v>6949.3</v>
      </c>
    </row>
    <row r="261" spans="1:33" ht="35.1" customHeight="1">
      <c r="A261" s="35"/>
      <c r="B261" s="53"/>
      <c r="C261" s="290"/>
      <c r="D261" s="150"/>
      <c r="E261" s="190"/>
      <c r="F261" s="226"/>
      <c r="G261" s="226"/>
      <c r="H261" s="226"/>
      <c r="I261" s="25" t="s">
        <v>772</v>
      </c>
      <c r="J261" s="25" t="s">
        <v>71</v>
      </c>
      <c r="K261" s="26" t="s">
        <v>773</v>
      </c>
      <c r="L261" s="12"/>
      <c r="M261" s="23" t="s">
        <v>386</v>
      </c>
      <c r="N261" s="12">
        <f t="shared" si="107"/>
        <v>289.39999999999998</v>
      </c>
      <c r="O261" s="12"/>
      <c r="P261" s="12"/>
      <c r="Q261" s="12"/>
      <c r="R261" s="12">
        <f>228.4+61</f>
        <v>289.39999999999998</v>
      </c>
      <c r="S261" s="12">
        <f t="shared" si="108"/>
        <v>100</v>
      </c>
      <c r="T261" s="12"/>
      <c r="U261" s="12"/>
      <c r="V261" s="12"/>
      <c r="W261" s="12">
        <v>100</v>
      </c>
      <c r="X261" s="12">
        <f t="shared" si="109"/>
        <v>100</v>
      </c>
      <c r="Y261" s="12"/>
      <c r="Z261" s="12"/>
      <c r="AA261" s="12"/>
      <c r="AB261" s="12">
        <v>100</v>
      </c>
      <c r="AC261" s="12">
        <f t="shared" si="110"/>
        <v>100</v>
      </c>
      <c r="AD261" s="12"/>
      <c r="AE261" s="12"/>
      <c r="AF261" s="12"/>
      <c r="AG261" s="12">
        <v>100</v>
      </c>
    </row>
    <row r="262" spans="1:33" ht="35.1" customHeight="1">
      <c r="A262" s="35"/>
      <c r="B262" s="53"/>
      <c r="C262" s="290"/>
      <c r="D262" s="150"/>
      <c r="E262" s="190"/>
      <c r="F262" s="226"/>
      <c r="G262" s="226"/>
      <c r="H262" s="226"/>
      <c r="I262" s="45" t="s">
        <v>774</v>
      </c>
      <c r="J262" s="45" t="s">
        <v>71</v>
      </c>
      <c r="K262" s="140" t="s">
        <v>773</v>
      </c>
      <c r="L262" s="12"/>
      <c r="M262" s="23" t="s">
        <v>387</v>
      </c>
      <c r="N262" s="12">
        <f t="shared" si="107"/>
        <v>38945.4</v>
      </c>
      <c r="O262" s="12"/>
      <c r="P262" s="12">
        <v>3209.6</v>
      </c>
      <c r="Q262" s="12"/>
      <c r="R262" s="12">
        <f>33491.3+2244.5</f>
        <v>35735.800000000003</v>
      </c>
      <c r="S262" s="12">
        <f t="shared" si="108"/>
        <v>33491.300000000003</v>
      </c>
      <c r="T262" s="12"/>
      <c r="U262" s="12"/>
      <c r="V262" s="12"/>
      <c r="W262" s="12">
        <v>33491.300000000003</v>
      </c>
      <c r="X262" s="12">
        <f t="shared" si="109"/>
        <v>33491.300000000003</v>
      </c>
      <c r="Y262" s="12"/>
      <c r="Z262" s="12"/>
      <c r="AA262" s="12"/>
      <c r="AB262" s="12">
        <v>33491.300000000003</v>
      </c>
      <c r="AC262" s="12">
        <f t="shared" si="110"/>
        <v>33491.300000000003</v>
      </c>
      <c r="AD262" s="12"/>
      <c r="AE262" s="12"/>
      <c r="AF262" s="12"/>
      <c r="AG262" s="12">
        <v>33491.300000000003</v>
      </c>
    </row>
    <row r="263" spans="1:33" ht="35.1" customHeight="1">
      <c r="A263" s="92"/>
      <c r="B263" s="24"/>
      <c r="C263" s="290"/>
      <c r="D263" s="150"/>
      <c r="E263" s="190"/>
      <c r="F263" s="226"/>
      <c r="G263" s="226"/>
      <c r="H263" s="226"/>
      <c r="I263" s="25"/>
      <c r="J263" s="25"/>
      <c r="K263" s="26"/>
      <c r="L263" s="12"/>
      <c r="M263" s="23" t="s">
        <v>388</v>
      </c>
      <c r="N263" s="12">
        <f t="shared" si="107"/>
        <v>1633</v>
      </c>
      <c r="O263" s="12"/>
      <c r="P263" s="12"/>
      <c r="Q263" s="12"/>
      <c r="R263" s="12">
        <f>1550+83</f>
        <v>1633</v>
      </c>
      <c r="S263" s="12">
        <f t="shared" si="108"/>
        <v>1550</v>
      </c>
      <c r="T263" s="12"/>
      <c r="U263" s="12"/>
      <c r="V263" s="12"/>
      <c r="W263" s="12">
        <v>1550</v>
      </c>
      <c r="X263" s="12">
        <f t="shared" si="109"/>
        <v>1550</v>
      </c>
      <c r="Y263" s="12"/>
      <c r="Z263" s="12"/>
      <c r="AA263" s="12"/>
      <c r="AB263" s="12">
        <v>1550</v>
      </c>
      <c r="AC263" s="12">
        <f t="shared" si="110"/>
        <v>1550</v>
      </c>
      <c r="AD263" s="12"/>
      <c r="AE263" s="12"/>
      <c r="AF263" s="12"/>
      <c r="AG263" s="12">
        <v>1550</v>
      </c>
    </row>
    <row r="264" spans="1:33" ht="35.1" customHeight="1">
      <c r="A264" s="92"/>
      <c r="B264" s="24"/>
      <c r="C264" s="290"/>
      <c r="D264" s="150"/>
      <c r="E264" s="190"/>
      <c r="F264" s="226"/>
      <c r="G264" s="226"/>
      <c r="H264" s="226"/>
      <c r="I264" s="223"/>
      <c r="J264" s="12"/>
      <c r="K264" s="12"/>
      <c r="L264" s="12"/>
      <c r="M264" s="23" t="s">
        <v>389</v>
      </c>
      <c r="N264" s="12">
        <f t="shared" si="107"/>
        <v>534.20000000000005</v>
      </c>
      <c r="O264" s="12"/>
      <c r="P264" s="12"/>
      <c r="Q264" s="12"/>
      <c r="R264" s="12">
        <f>40+494.2</f>
        <v>534.20000000000005</v>
      </c>
      <c r="S264" s="12">
        <f t="shared" si="108"/>
        <v>40</v>
      </c>
      <c r="T264" s="12"/>
      <c r="U264" s="12"/>
      <c r="V264" s="12"/>
      <c r="W264" s="12">
        <v>40</v>
      </c>
      <c r="X264" s="12">
        <f t="shared" si="109"/>
        <v>40</v>
      </c>
      <c r="Y264" s="12"/>
      <c r="Z264" s="12"/>
      <c r="AA264" s="12"/>
      <c r="AB264" s="12">
        <v>40</v>
      </c>
      <c r="AC264" s="12">
        <f t="shared" si="110"/>
        <v>40</v>
      </c>
      <c r="AD264" s="12"/>
      <c r="AE264" s="12"/>
      <c r="AF264" s="12"/>
      <c r="AG264" s="12">
        <v>40</v>
      </c>
    </row>
    <row r="265" spans="1:33" ht="35.1" customHeight="1">
      <c r="A265" s="35"/>
      <c r="B265" s="24"/>
      <c r="C265" s="290"/>
      <c r="D265" s="150"/>
      <c r="E265" s="190"/>
      <c r="F265" s="226"/>
      <c r="G265" s="226"/>
      <c r="H265" s="226"/>
      <c r="I265" s="223"/>
      <c r="J265" s="12"/>
      <c r="K265" s="12"/>
      <c r="L265" s="12"/>
      <c r="M265" s="23" t="s">
        <v>390</v>
      </c>
      <c r="N265" s="12">
        <f t="shared" si="107"/>
        <v>280</v>
      </c>
      <c r="O265" s="12"/>
      <c r="P265" s="12"/>
      <c r="Q265" s="12"/>
      <c r="R265" s="12">
        <v>280</v>
      </c>
      <c r="S265" s="12">
        <f t="shared" si="108"/>
        <v>280</v>
      </c>
      <c r="T265" s="12"/>
      <c r="U265" s="12"/>
      <c r="V265" s="12"/>
      <c r="W265" s="12">
        <v>280</v>
      </c>
      <c r="X265" s="12">
        <f t="shared" si="109"/>
        <v>280</v>
      </c>
      <c r="Y265" s="12"/>
      <c r="Z265" s="12"/>
      <c r="AA265" s="12"/>
      <c r="AB265" s="12">
        <v>280</v>
      </c>
      <c r="AC265" s="12">
        <f t="shared" si="110"/>
        <v>280</v>
      </c>
      <c r="AD265" s="12"/>
      <c r="AE265" s="12"/>
      <c r="AF265" s="12"/>
      <c r="AG265" s="12">
        <v>280</v>
      </c>
    </row>
    <row r="266" spans="1:33" ht="35.1" customHeight="1">
      <c r="A266" s="35"/>
      <c r="B266" s="24"/>
      <c r="C266" s="290"/>
      <c r="D266" s="150"/>
      <c r="E266" s="190"/>
      <c r="F266" s="226"/>
      <c r="G266" s="226"/>
      <c r="H266" s="226"/>
      <c r="I266" s="45" t="s">
        <v>774</v>
      </c>
      <c r="J266" s="45" t="s">
        <v>71</v>
      </c>
      <c r="K266" s="140" t="s">
        <v>773</v>
      </c>
      <c r="L266" s="12"/>
      <c r="M266" s="23" t="s">
        <v>391</v>
      </c>
      <c r="N266" s="12">
        <f t="shared" si="107"/>
        <v>100</v>
      </c>
      <c r="O266" s="12"/>
      <c r="P266" s="12"/>
      <c r="Q266" s="12"/>
      <c r="R266" s="12">
        <v>100</v>
      </c>
      <c r="S266" s="12">
        <f t="shared" si="108"/>
        <v>100</v>
      </c>
      <c r="T266" s="12"/>
      <c r="U266" s="12"/>
      <c r="V266" s="12"/>
      <c r="W266" s="12">
        <v>100</v>
      </c>
      <c r="X266" s="12">
        <f t="shared" si="109"/>
        <v>100</v>
      </c>
      <c r="Y266" s="12"/>
      <c r="Z266" s="12"/>
      <c r="AA266" s="12"/>
      <c r="AB266" s="12">
        <v>100</v>
      </c>
      <c r="AC266" s="12">
        <f t="shared" si="110"/>
        <v>100</v>
      </c>
      <c r="AD266" s="12"/>
      <c r="AE266" s="12"/>
      <c r="AF266" s="12"/>
      <c r="AG266" s="12">
        <v>100</v>
      </c>
    </row>
    <row r="267" spans="1:33" ht="35.1" customHeight="1">
      <c r="A267" s="50"/>
      <c r="B267" s="36"/>
      <c r="C267" s="290"/>
      <c r="D267" s="229"/>
      <c r="E267" s="229"/>
      <c r="F267" s="11"/>
      <c r="G267" s="11"/>
      <c r="H267" s="11"/>
      <c r="I267" s="45" t="s">
        <v>786</v>
      </c>
      <c r="J267" s="45" t="s">
        <v>71</v>
      </c>
      <c r="K267" s="230" t="s">
        <v>787</v>
      </c>
      <c r="L267" s="12"/>
      <c r="M267" s="23" t="s">
        <v>392</v>
      </c>
      <c r="N267" s="12">
        <f t="shared" si="107"/>
        <v>8075</v>
      </c>
      <c r="O267" s="12"/>
      <c r="P267" s="12">
        <v>433.7</v>
      </c>
      <c r="Q267" s="12"/>
      <c r="R267" s="12">
        <f>7069.2+572.1</f>
        <v>7641.3</v>
      </c>
      <c r="S267" s="12">
        <f>T267+U267+V267+W267</f>
        <v>7069.2</v>
      </c>
      <c r="T267" s="12"/>
      <c r="U267" s="12"/>
      <c r="V267" s="12"/>
      <c r="W267" s="12">
        <v>7069.2</v>
      </c>
      <c r="X267" s="12">
        <f t="shared" si="109"/>
        <v>7069.2</v>
      </c>
      <c r="Y267" s="12"/>
      <c r="Z267" s="12"/>
      <c r="AA267" s="12"/>
      <c r="AB267" s="12">
        <v>7069.2</v>
      </c>
      <c r="AC267" s="12">
        <f>AD267+AE267+AF267+AG267</f>
        <v>7069.2</v>
      </c>
      <c r="AD267" s="12"/>
      <c r="AE267" s="12"/>
      <c r="AF267" s="12"/>
      <c r="AG267" s="12">
        <v>7069.2</v>
      </c>
    </row>
    <row r="268" spans="1:33" ht="35.1" customHeight="1">
      <c r="A268" s="50"/>
      <c r="B268" s="36"/>
      <c r="C268" s="290"/>
      <c r="D268" s="229"/>
      <c r="E268" s="229"/>
      <c r="F268" s="11"/>
      <c r="G268" s="11"/>
      <c r="H268" s="11"/>
      <c r="I268" s="45" t="s">
        <v>788</v>
      </c>
      <c r="J268" s="45" t="s">
        <v>71</v>
      </c>
      <c r="K268" s="230" t="s">
        <v>789</v>
      </c>
      <c r="L268" s="12"/>
      <c r="M268" s="23" t="s">
        <v>393</v>
      </c>
      <c r="N268" s="12">
        <f t="shared" si="107"/>
        <v>0</v>
      </c>
      <c r="O268" s="12"/>
      <c r="P268" s="12"/>
      <c r="Q268" s="12"/>
      <c r="R268" s="12">
        <v>0</v>
      </c>
      <c r="S268" s="12">
        <f>T268+U268+V268+W268</f>
        <v>0</v>
      </c>
      <c r="T268" s="12"/>
      <c r="U268" s="12"/>
      <c r="V268" s="12"/>
      <c r="W268" s="12">
        <v>0</v>
      </c>
      <c r="X268" s="12">
        <f t="shared" si="109"/>
        <v>0</v>
      </c>
      <c r="Y268" s="12"/>
      <c r="Z268" s="12"/>
      <c r="AA268" s="12"/>
      <c r="AB268" s="12">
        <v>0</v>
      </c>
      <c r="AC268" s="12">
        <f>AD268+AE268+AF268+AG268</f>
        <v>0</v>
      </c>
      <c r="AD268" s="12"/>
      <c r="AE268" s="12"/>
      <c r="AF268" s="12"/>
      <c r="AG268" s="12">
        <v>0</v>
      </c>
    </row>
    <row r="269" spans="1:33" ht="35.1" customHeight="1">
      <c r="A269" s="50"/>
      <c r="B269" s="36"/>
      <c r="C269" s="231"/>
      <c r="D269" s="229"/>
      <c r="E269" s="229"/>
      <c r="F269" s="11"/>
      <c r="G269" s="11"/>
      <c r="H269" s="11"/>
      <c r="I269" s="184"/>
      <c r="J269" s="184"/>
      <c r="K269" s="230"/>
      <c r="L269" s="12"/>
      <c r="M269" s="23" t="s">
        <v>394</v>
      </c>
      <c r="N269" s="12">
        <f t="shared" si="107"/>
        <v>370</v>
      </c>
      <c r="O269" s="12"/>
      <c r="P269" s="12"/>
      <c r="Q269" s="12"/>
      <c r="R269" s="12">
        <v>370</v>
      </c>
      <c r="S269" s="12">
        <f>T269+U269+V269+W269</f>
        <v>370</v>
      </c>
      <c r="T269" s="12"/>
      <c r="U269" s="12"/>
      <c r="V269" s="12"/>
      <c r="W269" s="12">
        <v>370</v>
      </c>
      <c r="X269" s="12">
        <f t="shared" si="109"/>
        <v>370</v>
      </c>
      <c r="Y269" s="12"/>
      <c r="Z269" s="12"/>
      <c r="AA269" s="12"/>
      <c r="AB269" s="12">
        <v>370</v>
      </c>
      <c r="AC269" s="12">
        <f>AD269+AE269+AF269+AG269</f>
        <v>370</v>
      </c>
      <c r="AD269" s="12"/>
      <c r="AE269" s="12"/>
      <c r="AF269" s="12"/>
      <c r="AG269" s="12">
        <v>370</v>
      </c>
    </row>
    <row r="270" spans="1:33" ht="35.1" customHeight="1">
      <c r="A270" s="51" t="s">
        <v>395</v>
      </c>
      <c r="B270" s="38">
        <v>2613</v>
      </c>
      <c r="C270" s="24"/>
      <c r="D270" s="11"/>
      <c r="E270" s="11"/>
      <c r="F270" s="19"/>
      <c r="G270" s="19"/>
      <c r="H270" s="19"/>
      <c r="I270" s="11"/>
      <c r="J270" s="11"/>
      <c r="K270" s="11"/>
      <c r="L270" s="19">
        <v>23</v>
      </c>
      <c r="M270" s="23"/>
      <c r="N270" s="19">
        <f>+N271+N272</f>
        <v>0</v>
      </c>
      <c r="O270" s="19">
        <f t="shared" ref="O270:AG270" si="111">+O271+O272</f>
        <v>0</v>
      </c>
      <c r="P270" s="19">
        <f t="shared" si="111"/>
        <v>0</v>
      </c>
      <c r="Q270" s="19">
        <f t="shared" si="111"/>
        <v>0</v>
      </c>
      <c r="R270" s="19">
        <f t="shared" si="111"/>
        <v>0</v>
      </c>
      <c r="S270" s="19">
        <f t="shared" si="111"/>
        <v>0</v>
      </c>
      <c r="T270" s="19">
        <f t="shared" si="111"/>
        <v>0</v>
      </c>
      <c r="U270" s="19">
        <f t="shared" si="111"/>
        <v>0</v>
      </c>
      <c r="V270" s="19">
        <f t="shared" si="111"/>
        <v>0</v>
      </c>
      <c r="W270" s="19">
        <f t="shared" si="111"/>
        <v>0</v>
      </c>
      <c r="X270" s="19">
        <f t="shared" si="111"/>
        <v>0</v>
      </c>
      <c r="Y270" s="19">
        <f t="shared" si="111"/>
        <v>0</v>
      </c>
      <c r="Z270" s="19">
        <f t="shared" si="111"/>
        <v>0</v>
      </c>
      <c r="AA270" s="19">
        <f t="shared" si="111"/>
        <v>0</v>
      </c>
      <c r="AB270" s="19">
        <f t="shared" si="111"/>
        <v>0</v>
      </c>
      <c r="AC270" s="19">
        <f t="shared" si="111"/>
        <v>0</v>
      </c>
      <c r="AD270" s="19">
        <f t="shared" si="111"/>
        <v>0</v>
      </c>
      <c r="AE270" s="19">
        <f t="shared" si="111"/>
        <v>0</v>
      </c>
      <c r="AF270" s="19">
        <f t="shared" si="111"/>
        <v>0</v>
      </c>
      <c r="AG270" s="19">
        <f t="shared" si="111"/>
        <v>0</v>
      </c>
    </row>
    <row r="271" spans="1:33" ht="35.1" customHeight="1">
      <c r="A271" s="35"/>
      <c r="B271" s="53"/>
      <c r="C271" s="22" t="s">
        <v>76</v>
      </c>
      <c r="D271" s="22" t="s">
        <v>396</v>
      </c>
      <c r="E271" s="22" t="s">
        <v>78</v>
      </c>
      <c r="F271" s="22" t="s">
        <v>397</v>
      </c>
      <c r="G271" s="22" t="s">
        <v>398</v>
      </c>
      <c r="H271" s="22" t="s">
        <v>399</v>
      </c>
      <c r="I271" s="62" t="s">
        <v>639</v>
      </c>
      <c r="J271" s="39" t="s">
        <v>790</v>
      </c>
      <c r="K271" s="166" t="s">
        <v>640</v>
      </c>
      <c r="L271" s="93"/>
      <c r="M271" s="23" t="s">
        <v>400</v>
      </c>
      <c r="N271" s="12">
        <f>O271+P271+Q271+R271</f>
        <v>0</v>
      </c>
      <c r="O271" s="12"/>
      <c r="P271" s="12"/>
      <c r="Q271" s="12"/>
      <c r="R271" s="12">
        <v>0</v>
      </c>
      <c r="S271" s="12">
        <f t="shared" ref="S271:S272" si="112">T271+U271+V271+W271</f>
        <v>0</v>
      </c>
      <c r="T271" s="12"/>
      <c r="U271" s="12"/>
      <c r="V271" s="12"/>
      <c r="W271" s="12">
        <v>0</v>
      </c>
      <c r="X271" s="12">
        <f t="shared" ref="X271:X272" si="113">Y271+Z271+AA271+AB271</f>
        <v>0</v>
      </c>
      <c r="Y271" s="12"/>
      <c r="Z271" s="12"/>
      <c r="AA271" s="12"/>
      <c r="AB271" s="12">
        <v>0</v>
      </c>
      <c r="AC271" s="12">
        <f t="shared" ref="AC271:AC272" si="114">AD271+AE271+AF271+AG271</f>
        <v>0</v>
      </c>
      <c r="AD271" s="12"/>
      <c r="AE271" s="12"/>
      <c r="AF271" s="12"/>
      <c r="AG271" s="12">
        <v>0</v>
      </c>
    </row>
    <row r="272" spans="1:33" ht="35.1" customHeight="1">
      <c r="A272" s="35"/>
      <c r="B272" s="53"/>
      <c r="C272" s="22" t="s">
        <v>401</v>
      </c>
      <c r="D272" s="22" t="s">
        <v>402</v>
      </c>
      <c r="E272" s="22" t="s">
        <v>403</v>
      </c>
      <c r="F272" s="12"/>
      <c r="G272" s="12"/>
      <c r="H272" s="12"/>
      <c r="I272" s="94"/>
      <c r="J272" s="37"/>
      <c r="K272" s="37"/>
      <c r="L272" s="12"/>
      <c r="M272" s="23" t="s">
        <v>404</v>
      </c>
      <c r="N272" s="12">
        <f>O272+P272+Q272+R272</f>
        <v>0</v>
      </c>
      <c r="O272" s="12"/>
      <c r="P272" s="12"/>
      <c r="Q272" s="12"/>
      <c r="R272" s="12">
        <v>0</v>
      </c>
      <c r="S272" s="12">
        <f t="shared" si="112"/>
        <v>0</v>
      </c>
      <c r="T272" s="12"/>
      <c r="U272" s="12"/>
      <c r="V272" s="12"/>
      <c r="W272" s="12">
        <v>0</v>
      </c>
      <c r="X272" s="12">
        <f t="shared" si="113"/>
        <v>0</v>
      </c>
      <c r="Y272" s="12"/>
      <c r="Z272" s="12"/>
      <c r="AA272" s="12"/>
      <c r="AB272" s="12">
        <v>0</v>
      </c>
      <c r="AC272" s="12">
        <f t="shared" si="114"/>
        <v>0</v>
      </c>
      <c r="AD272" s="12"/>
      <c r="AE272" s="12"/>
      <c r="AF272" s="12"/>
      <c r="AG272" s="12">
        <v>0</v>
      </c>
    </row>
    <row r="273" spans="1:33" ht="35.1" customHeight="1">
      <c r="A273" s="95" t="s">
        <v>405</v>
      </c>
      <c r="B273" s="96">
        <v>2623</v>
      </c>
      <c r="C273" s="18"/>
      <c r="D273" s="19"/>
      <c r="E273" s="19"/>
      <c r="F273" s="19"/>
      <c r="G273" s="19"/>
      <c r="H273" s="19"/>
      <c r="I273" s="97"/>
      <c r="J273" s="19"/>
      <c r="K273" s="19"/>
      <c r="L273" s="19">
        <v>23</v>
      </c>
      <c r="M273" s="23"/>
      <c r="N273" s="19">
        <f t="shared" ref="N273:AG273" si="115">N274+N275</f>
        <v>5706.8</v>
      </c>
      <c r="O273" s="19">
        <f t="shared" si="115"/>
        <v>0</v>
      </c>
      <c r="P273" s="19">
        <f t="shared" si="115"/>
        <v>0</v>
      </c>
      <c r="Q273" s="19">
        <f t="shared" si="115"/>
        <v>0</v>
      </c>
      <c r="R273" s="19">
        <f t="shared" si="115"/>
        <v>5706.8</v>
      </c>
      <c r="S273" s="19">
        <f>S274+S275</f>
        <v>3143.9</v>
      </c>
      <c r="T273" s="19">
        <f t="shared" si="115"/>
        <v>0</v>
      </c>
      <c r="U273" s="19">
        <f t="shared" si="115"/>
        <v>0</v>
      </c>
      <c r="V273" s="19">
        <f t="shared" si="115"/>
        <v>0</v>
      </c>
      <c r="W273" s="19">
        <f t="shared" si="115"/>
        <v>3143.9</v>
      </c>
      <c r="X273" s="19">
        <f t="shared" si="115"/>
        <v>3143.9</v>
      </c>
      <c r="Y273" s="19">
        <f t="shared" si="115"/>
        <v>0</v>
      </c>
      <c r="Z273" s="19">
        <f t="shared" si="115"/>
        <v>0</v>
      </c>
      <c r="AA273" s="19">
        <f t="shared" si="115"/>
        <v>0</v>
      </c>
      <c r="AB273" s="19">
        <f t="shared" si="115"/>
        <v>3143.9</v>
      </c>
      <c r="AC273" s="19">
        <f t="shared" si="115"/>
        <v>3143.9</v>
      </c>
      <c r="AD273" s="19">
        <f t="shared" si="115"/>
        <v>0</v>
      </c>
      <c r="AE273" s="19">
        <f t="shared" si="115"/>
        <v>0</v>
      </c>
      <c r="AF273" s="19">
        <f t="shared" si="115"/>
        <v>0</v>
      </c>
      <c r="AG273" s="19">
        <f t="shared" si="115"/>
        <v>3143.9</v>
      </c>
    </row>
    <row r="274" spans="1:33" ht="35.1" customHeight="1">
      <c r="A274" s="39"/>
      <c r="B274" s="47"/>
      <c r="C274" s="197" t="s">
        <v>636</v>
      </c>
      <c r="D274" s="197" t="s">
        <v>641</v>
      </c>
      <c r="E274" s="197" t="s">
        <v>638</v>
      </c>
      <c r="F274" s="194" t="s">
        <v>406</v>
      </c>
      <c r="G274" s="194"/>
      <c r="H274" s="194" t="s">
        <v>407</v>
      </c>
      <c r="I274" s="23" t="s">
        <v>408</v>
      </c>
      <c r="J274" s="194" t="s">
        <v>111</v>
      </c>
      <c r="K274" s="23" t="s">
        <v>653</v>
      </c>
      <c r="L274" s="12">
        <v>23</v>
      </c>
      <c r="M274" s="23" t="s">
        <v>409</v>
      </c>
      <c r="N274" s="12">
        <f>O274+P274+Q274+R274</f>
        <v>5676.8</v>
      </c>
      <c r="O274" s="12"/>
      <c r="P274" s="12"/>
      <c r="Q274" s="12"/>
      <c r="R274" s="12">
        <f>3113.9+2562.9</f>
        <v>5676.8</v>
      </c>
      <c r="S274" s="12">
        <f>T274+U274+V274+W274</f>
        <v>3113.9</v>
      </c>
      <c r="T274" s="12"/>
      <c r="U274" s="12"/>
      <c r="V274" s="12"/>
      <c r="W274" s="12">
        <v>3113.9</v>
      </c>
      <c r="X274" s="12">
        <f>Y274+Z274+AA274+AB274</f>
        <v>3113.9</v>
      </c>
      <c r="Y274" s="12"/>
      <c r="Z274" s="12"/>
      <c r="AA274" s="12"/>
      <c r="AB274" s="12">
        <v>3113.9</v>
      </c>
      <c r="AC274" s="12">
        <f>AD274+AE274+AF274+AG274</f>
        <v>3113.9</v>
      </c>
      <c r="AD274" s="12"/>
      <c r="AE274" s="12"/>
      <c r="AF274" s="12"/>
      <c r="AG274" s="12">
        <v>3113.9</v>
      </c>
    </row>
    <row r="275" spans="1:33" ht="35.1" customHeight="1">
      <c r="A275" s="39"/>
      <c r="B275" s="47"/>
      <c r="C275" s="194"/>
      <c r="D275" s="194"/>
      <c r="E275" s="194"/>
      <c r="F275" s="194"/>
      <c r="G275" s="194"/>
      <c r="H275" s="194"/>
      <c r="I275" s="23"/>
      <c r="J275" s="194"/>
      <c r="K275" s="12"/>
      <c r="L275" s="12"/>
      <c r="M275" s="23" t="s">
        <v>410</v>
      </c>
      <c r="N275" s="12">
        <f>O275+P275+Q275+R275</f>
        <v>30</v>
      </c>
      <c r="O275" s="12"/>
      <c r="P275" s="12"/>
      <c r="Q275" s="12"/>
      <c r="R275" s="12">
        <f>25+5</f>
        <v>30</v>
      </c>
      <c r="S275" s="12">
        <f>T275+U275+V275+W275</f>
        <v>30</v>
      </c>
      <c r="T275" s="12"/>
      <c r="U275" s="12"/>
      <c r="V275" s="12"/>
      <c r="W275" s="12">
        <v>30</v>
      </c>
      <c r="X275" s="12">
        <f>Y275+Z275+AA275+AB275</f>
        <v>30</v>
      </c>
      <c r="Y275" s="12"/>
      <c r="Z275" s="12"/>
      <c r="AA275" s="12"/>
      <c r="AB275" s="12">
        <v>30</v>
      </c>
      <c r="AC275" s="12">
        <f>AD275+AE275+AF275+AG275</f>
        <v>30</v>
      </c>
      <c r="AD275" s="12"/>
      <c r="AE275" s="12"/>
      <c r="AF275" s="12"/>
      <c r="AG275" s="12">
        <v>30</v>
      </c>
    </row>
    <row r="276" spans="1:33" ht="35.1" customHeight="1">
      <c r="A276" s="95" t="s">
        <v>411</v>
      </c>
      <c r="B276" s="83">
        <v>2624</v>
      </c>
      <c r="C276" s="99"/>
      <c r="D276" s="99"/>
      <c r="E276" s="99"/>
      <c r="F276" s="99"/>
      <c r="G276" s="99"/>
      <c r="H276" s="99"/>
      <c r="I276" s="100"/>
      <c r="J276" s="99"/>
      <c r="K276" s="19"/>
      <c r="L276" s="19">
        <v>23</v>
      </c>
      <c r="M276" s="23"/>
      <c r="N276" s="19">
        <f>N277+N278</f>
        <v>19792.599999999999</v>
      </c>
      <c r="O276" s="19">
        <f t="shared" ref="O276:AG276" si="116">O277+O278</f>
        <v>13247.9</v>
      </c>
      <c r="P276" s="19">
        <f t="shared" si="116"/>
        <v>6525</v>
      </c>
      <c r="Q276" s="19">
        <f t="shared" si="116"/>
        <v>0</v>
      </c>
      <c r="R276" s="19">
        <f t="shared" si="116"/>
        <v>19.7</v>
      </c>
      <c r="S276" s="19">
        <f t="shared" si="116"/>
        <v>19300.900000000001</v>
      </c>
      <c r="T276" s="19">
        <f t="shared" si="116"/>
        <v>12340.2</v>
      </c>
      <c r="U276" s="19">
        <f t="shared" si="116"/>
        <v>6941.4000000000005</v>
      </c>
      <c r="V276" s="19">
        <f t="shared" si="116"/>
        <v>0</v>
      </c>
      <c r="W276" s="19">
        <f t="shared" si="116"/>
        <v>19.3</v>
      </c>
      <c r="X276" s="19">
        <f t="shared" si="116"/>
        <v>18563.400000000001</v>
      </c>
      <c r="Y276" s="19">
        <f t="shared" si="116"/>
        <v>11312.300000000001</v>
      </c>
      <c r="Z276" s="19">
        <f t="shared" si="116"/>
        <v>7232.5</v>
      </c>
      <c r="AA276" s="19">
        <f t="shared" si="116"/>
        <v>0</v>
      </c>
      <c r="AB276" s="19">
        <f t="shared" si="116"/>
        <v>18.600000000000001</v>
      </c>
      <c r="AC276" s="19">
        <f t="shared" si="116"/>
        <v>18563.400000000001</v>
      </c>
      <c r="AD276" s="19">
        <f t="shared" si="116"/>
        <v>11312.300000000001</v>
      </c>
      <c r="AE276" s="19">
        <f t="shared" si="116"/>
        <v>7232.5</v>
      </c>
      <c r="AF276" s="19">
        <f t="shared" si="116"/>
        <v>0</v>
      </c>
      <c r="AG276" s="19">
        <f t="shared" si="116"/>
        <v>18.600000000000001</v>
      </c>
    </row>
    <row r="277" spans="1:33" ht="35.1" customHeight="1" thickBot="1">
      <c r="A277" s="35"/>
      <c r="B277" s="21"/>
      <c r="C277" s="22" t="s">
        <v>412</v>
      </c>
      <c r="D277" s="22" t="s">
        <v>413</v>
      </c>
      <c r="E277" s="22" t="s">
        <v>414</v>
      </c>
      <c r="F277" s="22" t="s">
        <v>415</v>
      </c>
      <c r="G277" s="22" t="s">
        <v>51</v>
      </c>
      <c r="H277" s="22" t="s">
        <v>416</v>
      </c>
      <c r="I277" s="194" t="s">
        <v>861</v>
      </c>
      <c r="J277" s="194" t="s">
        <v>111</v>
      </c>
      <c r="K277" s="25" t="s">
        <v>862</v>
      </c>
      <c r="L277" s="12"/>
      <c r="M277" s="23" t="s">
        <v>417</v>
      </c>
      <c r="N277" s="12">
        <f>O277+P277+Q277+R277</f>
        <v>15144.6</v>
      </c>
      <c r="O277" s="12">
        <v>10136.799999999999</v>
      </c>
      <c r="P277" s="12">
        <v>4992.7</v>
      </c>
      <c r="Q277" s="12"/>
      <c r="R277" s="12">
        <v>15.1</v>
      </c>
      <c r="S277" s="12">
        <f>T277+U277+V277+W277</f>
        <v>14794.3</v>
      </c>
      <c r="T277" s="12">
        <v>9458.9</v>
      </c>
      <c r="U277" s="12">
        <v>5320.6</v>
      </c>
      <c r="V277" s="12"/>
      <c r="W277" s="12">
        <v>14.8</v>
      </c>
      <c r="X277" s="12">
        <f>Y277+Z277+AA277+AB277</f>
        <v>14314.2</v>
      </c>
      <c r="Y277" s="12">
        <v>8743.2000000000007</v>
      </c>
      <c r="Z277" s="12">
        <v>5556.6</v>
      </c>
      <c r="AA277" s="12"/>
      <c r="AB277" s="12">
        <v>14.4</v>
      </c>
      <c r="AC277" s="12">
        <f>AD277+AE277+AF277+AG277</f>
        <v>14314.2</v>
      </c>
      <c r="AD277" s="12">
        <v>8743.2000000000007</v>
      </c>
      <c r="AE277" s="12">
        <v>5556.6</v>
      </c>
      <c r="AF277" s="12"/>
      <c r="AG277" s="12">
        <v>14.4</v>
      </c>
    </row>
    <row r="278" spans="1:33" ht="35.1" customHeight="1" thickBot="1">
      <c r="A278" s="13"/>
      <c r="B278" s="36"/>
      <c r="C278" s="194"/>
      <c r="D278" s="194"/>
      <c r="E278" s="194"/>
      <c r="F278" s="194"/>
      <c r="G278" s="194"/>
      <c r="H278" s="59"/>
      <c r="I278" s="58"/>
      <c r="J278" s="194"/>
      <c r="K278" s="25"/>
      <c r="L278" s="12"/>
      <c r="M278" s="23" t="s">
        <v>418</v>
      </c>
      <c r="N278" s="12">
        <f>O278+P278+Q278+R278</f>
        <v>4648</v>
      </c>
      <c r="O278" s="12">
        <v>3111.1</v>
      </c>
      <c r="P278" s="12">
        <v>1532.3</v>
      </c>
      <c r="Q278" s="12"/>
      <c r="R278" s="12">
        <v>4.5999999999999996</v>
      </c>
      <c r="S278" s="12">
        <f>T278+U278+V278+W278</f>
        <v>4506.6000000000004</v>
      </c>
      <c r="T278" s="12">
        <v>2881.3</v>
      </c>
      <c r="U278" s="12">
        <f>1620.7+0.1</f>
        <v>1620.8</v>
      </c>
      <c r="V278" s="12"/>
      <c r="W278" s="12">
        <v>4.5</v>
      </c>
      <c r="X278" s="12">
        <f>Y278+Z278+AA278+AB278</f>
        <v>4249.2</v>
      </c>
      <c r="Y278" s="12">
        <v>2569.1</v>
      </c>
      <c r="Z278" s="12">
        <v>1675.9</v>
      </c>
      <c r="AA278" s="12"/>
      <c r="AB278" s="12">
        <v>4.2</v>
      </c>
      <c r="AC278" s="12">
        <f>AD278+AE278+AF278+AG278</f>
        <v>4249.2</v>
      </c>
      <c r="AD278" s="12">
        <v>2569.1</v>
      </c>
      <c r="AE278" s="12">
        <v>1675.9</v>
      </c>
      <c r="AF278" s="12"/>
      <c r="AG278" s="12">
        <v>4.2</v>
      </c>
    </row>
    <row r="279" spans="1:33" ht="35.1" customHeight="1" thickBot="1">
      <c r="A279" s="232" t="s">
        <v>419</v>
      </c>
      <c r="B279" s="19">
        <v>2625</v>
      </c>
      <c r="C279" s="18"/>
      <c r="D279" s="19"/>
      <c r="E279" s="19"/>
      <c r="F279" s="71"/>
      <c r="G279" s="71"/>
      <c r="H279" s="71"/>
      <c r="I279" s="71"/>
      <c r="J279" s="71"/>
      <c r="K279" s="71"/>
      <c r="L279" s="71"/>
      <c r="M279" s="49"/>
      <c r="N279" s="19">
        <f>N280+N281+N282+N283</f>
        <v>2402.1999999999998</v>
      </c>
      <c r="O279" s="19">
        <f t="shared" ref="O279:AG279" si="117">O280+O281+O282+O283</f>
        <v>0</v>
      </c>
      <c r="P279" s="19">
        <f t="shared" si="117"/>
        <v>2402.1999999999998</v>
      </c>
      <c r="Q279" s="19">
        <f t="shared" si="117"/>
        <v>0</v>
      </c>
      <c r="R279" s="19">
        <f t="shared" si="117"/>
        <v>0</v>
      </c>
      <c r="S279" s="19">
        <f t="shared" si="117"/>
        <v>2402.1999999999998</v>
      </c>
      <c r="T279" s="19">
        <f t="shared" si="117"/>
        <v>0</v>
      </c>
      <c r="U279" s="19">
        <f t="shared" si="117"/>
        <v>2402.1999999999998</v>
      </c>
      <c r="V279" s="19">
        <f t="shared" si="117"/>
        <v>0</v>
      </c>
      <c r="W279" s="19">
        <f t="shared" si="117"/>
        <v>0</v>
      </c>
      <c r="X279" s="19">
        <f t="shared" si="117"/>
        <v>2402.1999999999998</v>
      </c>
      <c r="Y279" s="19">
        <f t="shared" si="117"/>
        <v>0</v>
      </c>
      <c r="Z279" s="19">
        <f t="shared" si="117"/>
        <v>2402.1999999999998</v>
      </c>
      <c r="AA279" s="19">
        <f t="shared" si="117"/>
        <v>0</v>
      </c>
      <c r="AB279" s="19">
        <f t="shared" si="117"/>
        <v>0</v>
      </c>
      <c r="AC279" s="19">
        <f t="shared" si="117"/>
        <v>2402.1999999999998</v>
      </c>
      <c r="AD279" s="19">
        <f t="shared" si="117"/>
        <v>0</v>
      </c>
      <c r="AE279" s="19">
        <f t="shared" si="117"/>
        <v>2402.1999999999998</v>
      </c>
      <c r="AF279" s="19">
        <f t="shared" si="117"/>
        <v>0</v>
      </c>
      <c r="AG279" s="19">
        <f t="shared" si="117"/>
        <v>0</v>
      </c>
    </row>
    <row r="280" spans="1:33" ht="35.1" customHeight="1" thickBot="1">
      <c r="A280" s="125"/>
      <c r="B280" s="24"/>
      <c r="C280" s="22" t="s">
        <v>412</v>
      </c>
      <c r="D280" s="22" t="s">
        <v>420</v>
      </c>
      <c r="E280" s="22" t="s">
        <v>414</v>
      </c>
      <c r="F280" s="22" t="s">
        <v>421</v>
      </c>
      <c r="G280" s="22" t="s">
        <v>71</v>
      </c>
      <c r="H280" s="22" t="s">
        <v>422</v>
      </c>
      <c r="I280" s="39" t="s">
        <v>423</v>
      </c>
      <c r="J280" s="172" t="s">
        <v>71</v>
      </c>
      <c r="K280" s="45" t="s">
        <v>690</v>
      </c>
      <c r="L280" s="12"/>
      <c r="M280" s="23" t="s">
        <v>870</v>
      </c>
      <c r="N280" s="12">
        <f>O280+P280+R280</f>
        <v>873.9</v>
      </c>
      <c r="O280" s="12"/>
      <c r="P280" s="12">
        <v>873.9</v>
      </c>
      <c r="Q280" s="12"/>
      <c r="R280" s="12"/>
      <c r="S280" s="12">
        <f>T280+U280+W280</f>
        <v>873.9</v>
      </c>
      <c r="T280" s="12"/>
      <c r="U280" s="12">
        <v>873.9</v>
      </c>
      <c r="V280" s="12"/>
      <c r="W280" s="12"/>
      <c r="X280" s="19">
        <f>Y280+Z280+AB280</f>
        <v>873.9</v>
      </c>
      <c r="Y280" s="12"/>
      <c r="Z280" s="12">
        <v>873.9</v>
      </c>
      <c r="AA280" s="12"/>
      <c r="AB280" s="12"/>
      <c r="AC280" s="19">
        <f>AD280+AE280+AG280</f>
        <v>873.9</v>
      </c>
      <c r="AD280" s="12"/>
      <c r="AE280" s="12">
        <v>873.9</v>
      </c>
      <c r="AF280" s="12"/>
      <c r="AG280" s="12"/>
    </row>
    <row r="281" spans="1:33" ht="35.1" customHeight="1" thickBot="1">
      <c r="A281" s="13"/>
      <c r="B281" s="21"/>
      <c r="C281" s="148"/>
      <c r="D281" s="37"/>
      <c r="E281" s="37"/>
      <c r="F281" s="37"/>
      <c r="G281" s="37"/>
      <c r="H281" s="37"/>
      <c r="I281" s="23" t="s">
        <v>424</v>
      </c>
      <c r="J281" s="37" t="s">
        <v>71</v>
      </c>
      <c r="K281" s="184" t="s">
        <v>691</v>
      </c>
      <c r="L281" s="12"/>
      <c r="M281" s="23" t="s">
        <v>871</v>
      </c>
      <c r="N281" s="12">
        <f>O281+P281+R281</f>
        <v>241.1</v>
      </c>
      <c r="O281" s="12"/>
      <c r="P281" s="12">
        <v>241.1</v>
      </c>
      <c r="Q281" s="12"/>
      <c r="R281" s="12"/>
      <c r="S281" s="12">
        <f>T281+U281+W281</f>
        <v>241.1</v>
      </c>
      <c r="T281" s="12"/>
      <c r="U281" s="12">
        <v>241.1</v>
      </c>
      <c r="V281" s="12"/>
      <c r="W281" s="12"/>
      <c r="X281" s="19">
        <f>Y281+Z281+AB281</f>
        <v>241.1</v>
      </c>
      <c r="Y281" s="12"/>
      <c r="Z281" s="12">
        <v>241.1</v>
      </c>
      <c r="AA281" s="12"/>
      <c r="AB281" s="12"/>
      <c r="AC281" s="19">
        <f>AD281+AE281+AG281</f>
        <v>241.1</v>
      </c>
      <c r="AD281" s="12"/>
      <c r="AE281" s="12">
        <v>241.1</v>
      </c>
      <c r="AF281" s="12"/>
      <c r="AG281" s="12"/>
    </row>
    <row r="282" spans="1:33" ht="35.1" customHeight="1" thickBot="1">
      <c r="A282" s="13"/>
      <c r="B282" s="21"/>
      <c r="C282" s="194"/>
      <c r="D282" s="194"/>
      <c r="E282" s="194"/>
      <c r="F282" s="55" t="s">
        <v>425</v>
      </c>
      <c r="G282" s="194" t="s">
        <v>71</v>
      </c>
      <c r="H282" s="55" t="s">
        <v>692</v>
      </c>
      <c r="I282" s="23" t="s">
        <v>424</v>
      </c>
      <c r="J282" s="37" t="s">
        <v>71</v>
      </c>
      <c r="K282" s="184" t="s">
        <v>691</v>
      </c>
      <c r="L282" s="12"/>
      <c r="M282" s="23" t="s">
        <v>872</v>
      </c>
      <c r="N282" s="12">
        <f>O282+P282+R282</f>
        <v>1132.7</v>
      </c>
      <c r="O282" s="12"/>
      <c r="P282" s="12">
        <v>1132.7</v>
      </c>
      <c r="Q282" s="12"/>
      <c r="R282" s="12"/>
      <c r="S282" s="12">
        <f>T282+U282+W282</f>
        <v>1132.7</v>
      </c>
      <c r="T282" s="12"/>
      <c r="U282" s="12">
        <v>1132.7</v>
      </c>
      <c r="V282" s="12"/>
      <c r="W282" s="12"/>
      <c r="X282" s="19">
        <f>Y282+Z282+AB282</f>
        <v>1132.7</v>
      </c>
      <c r="Y282" s="12"/>
      <c r="Z282" s="12">
        <v>1132.7</v>
      </c>
      <c r="AA282" s="12"/>
      <c r="AB282" s="12"/>
      <c r="AC282" s="19">
        <f>AD282+AE282+AG282</f>
        <v>1132.7</v>
      </c>
      <c r="AD282" s="12"/>
      <c r="AE282" s="12">
        <v>1132.7</v>
      </c>
      <c r="AF282" s="12"/>
      <c r="AG282" s="12"/>
    </row>
    <row r="283" spans="1:33" ht="35.1" customHeight="1" thickBot="1">
      <c r="A283" s="13"/>
      <c r="B283" s="21"/>
      <c r="C283" s="194"/>
      <c r="D283" s="194"/>
      <c r="E283" s="194"/>
      <c r="J283" s="194"/>
      <c r="K283" s="55"/>
      <c r="L283" s="12"/>
      <c r="M283" s="23" t="s">
        <v>873</v>
      </c>
      <c r="N283" s="12">
        <f>O283+P283+R283</f>
        <v>154.5</v>
      </c>
      <c r="O283" s="12"/>
      <c r="P283" s="12">
        <v>154.5</v>
      </c>
      <c r="Q283" s="12"/>
      <c r="R283" s="12"/>
      <c r="S283" s="12">
        <f>T283+U283+W283</f>
        <v>154.5</v>
      </c>
      <c r="T283" s="12"/>
      <c r="U283" s="12">
        <v>154.5</v>
      </c>
      <c r="V283" s="12"/>
      <c r="W283" s="12"/>
      <c r="X283" s="19">
        <f>Y283+Z283+AB283</f>
        <v>154.5</v>
      </c>
      <c r="Y283" s="12"/>
      <c r="Z283" s="12">
        <v>154.5</v>
      </c>
      <c r="AA283" s="12"/>
      <c r="AB283" s="12"/>
      <c r="AC283" s="19">
        <f>AD283+AE283+AG283</f>
        <v>154.5</v>
      </c>
      <c r="AD283" s="12"/>
      <c r="AE283" s="12">
        <v>154.5</v>
      </c>
      <c r="AF283" s="12"/>
      <c r="AG283" s="12"/>
    </row>
    <row r="284" spans="1:33" ht="35.1" customHeight="1">
      <c r="A284" s="75" t="s">
        <v>426</v>
      </c>
      <c r="B284" s="96">
        <v>2700</v>
      </c>
      <c r="C284" s="9" t="s">
        <v>17</v>
      </c>
      <c r="D284" s="9" t="s">
        <v>17</v>
      </c>
      <c r="E284" s="9" t="s">
        <v>17</v>
      </c>
      <c r="F284" s="9"/>
      <c r="G284" s="9"/>
      <c r="H284" s="9"/>
      <c r="I284" s="102" t="s">
        <v>17</v>
      </c>
      <c r="J284" s="9" t="s">
        <v>17</v>
      </c>
      <c r="K284" s="9" t="s">
        <v>17</v>
      </c>
      <c r="L284" s="9" t="s">
        <v>17</v>
      </c>
      <c r="M284" s="64"/>
      <c r="N284" s="19">
        <f t="shared" ref="N284:AG284" si="118">N285+N303</f>
        <v>3529.5</v>
      </c>
      <c r="O284" s="19">
        <f t="shared" si="118"/>
        <v>0</v>
      </c>
      <c r="P284" s="19">
        <f t="shared" si="118"/>
        <v>0</v>
      </c>
      <c r="Q284" s="19">
        <f t="shared" si="118"/>
        <v>0</v>
      </c>
      <c r="R284" s="19">
        <f t="shared" si="118"/>
        <v>3529.5</v>
      </c>
      <c r="S284" s="19">
        <f t="shared" si="118"/>
        <v>2539.4</v>
      </c>
      <c r="T284" s="19">
        <f t="shared" si="118"/>
        <v>0</v>
      </c>
      <c r="U284" s="19">
        <f t="shared" si="118"/>
        <v>0</v>
      </c>
      <c r="V284" s="19">
        <f t="shared" si="118"/>
        <v>0</v>
      </c>
      <c r="W284" s="19">
        <f t="shared" si="118"/>
        <v>2539.4</v>
      </c>
      <c r="X284" s="19">
        <f t="shared" si="118"/>
        <v>2539.4</v>
      </c>
      <c r="Y284" s="19">
        <f t="shared" si="118"/>
        <v>0</v>
      </c>
      <c r="Z284" s="19">
        <f t="shared" si="118"/>
        <v>0</v>
      </c>
      <c r="AA284" s="19">
        <f t="shared" si="118"/>
        <v>0</v>
      </c>
      <c r="AB284" s="19">
        <f t="shared" si="118"/>
        <v>2539.4</v>
      </c>
      <c r="AC284" s="19">
        <f t="shared" si="118"/>
        <v>2539.4</v>
      </c>
      <c r="AD284" s="19">
        <f t="shared" si="118"/>
        <v>0</v>
      </c>
      <c r="AE284" s="19">
        <f t="shared" si="118"/>
        <v>0</v>
      </c>
      <c r="AF284" s="19">
        <f t="shared" si="118"/>
        <v>0</v>
      </c>
      <c r="AG284" s="19">
        <f t="shared" si="118"/>
        <v>2539.4</v>
      </c>
    </row>
    <row r="285" spans="1:33" ht="35.1" customHeight="1">
      <c r="A285" s="75" t="s">
        <v>427</v>
      </c>
      <c r="B285" s="96">
        <v>2701</v>
      </c>
      <c r="C285" s="9" t="s">
        <v>17</v>
      </c>
      <c r="D285" s="9" t="s">
        <v>17</v>
      </c>
      <c r="E285" s="9" t="s">
        <v>17</v>
      </c>
      <c r="F285" s="9"/>
      <c r="G285" s="9"/>
      <c r="H285" s="9"/>
      <c r="I285" s="102" t="s">
        <v>17</v>
      </c>
      <c r="J285" s="9" t="s">
        <v>17</v>
      </c>
      <c r="K285" s="9" t="s">
        <v>17</v>
      </c>
      <c r="L285" s="9" t="s">
        <v>17</v>
      </c>
      <c r="M285" s="9" t="s">
        <v>17</v>
      </c>
      <c r="N285" s="165">
        <f t="shared" ref="N285:AG285" si="119">N295+N287+N290</f>
        <v>3089.5</v>
      </c>
      <c r="O285" s="165">
        <f t="shared" si="119"/>
        <v>0</v>
      </c>
      <c r="P285" s="165">
        <f t="shared" si="119"/>
        <v>0</v>
      </c>
      <c r="Q285" s="165">
        <f t="shared" si="119"/>
        <v>0</v>
      </c>
      <c r="R285" s="165">
        <f t="shared" si="119"/>
        <v>3089.5</v>
      </c>
      <c r="S285" s="165">
        <f t="shared" si="119"/>
        <v>2299.4</v>
      </c>
      <c r="T285" s="165">
        <f t="shared" si="119"/>
        <v>0</v>
      </c>
      <c r="U285" s="165">
        <f t="shared" si="119"/>
        <v>0</v>
      </c>
      <c r="V285" s="165">
        <f t="shared" si="119"/>
        <v>0</v>
      </c>
      <c r="W285" s="165">
        <f t="shared" si="119"/>
        <v>2299.4</v>
      </c>
      <c r="X285" s="165">
        <f t="shared" si="119"/>
        <v>2299.4</v>
      </c>
      <c r="Y285" s="165">
        <f t="shared" si="119"/>
        <v>0</v>
      </c>
      <c r="Z285" s="165">
        <f t="shared" si="119"/>
        <v>0</v>
      </c>
      <c r="AA285" s="165">
        <f t="shared" si="119"/>
        <v>0</v>
      </c>
      <c r="AB285" s="165">
        <f t="shared" si="119"/>
        <v>2299.4</v>
      </c>
      <c r="AC285" s="165">
        <f t="shared" si="119"/>
        <v>2299.4</v>
      </c>
      <c r="AD285" s="165">
        <f t="shared" si="119"/>
        <v>0</v>
      </c>
      <c r="AE285" s="165">
        <f t="shared" si="119"/>
        <v>0</v>
      </c>
      <c r="AF285" s="165">
        <f t="shared" si="119"/>
        <v>0</v>
      </c>
      <c r="AG285" s="165">
        <f t="shared" si="119"/>
        <v>2299.4</v>
      </c>
    </row>
    <row r="286" spans="1:33" ht="35.1" customHeight="1">
      <c r="A286" s="80" t="s">
        <v>19</v>
      </c>
      <c r="B286" s="103">
        <v>2702</v>
      </c>
      <c r="C286" s="11"/>
      <c r="D286" s="12"/>
      <c r="E286" s="12"/>
      <c r="F286" s="12"/>
      <c r="G286" s="12"/>
      <c r="H286" s="12"/>
      <c r="I286" s="104"/>
      <c r="J286" s="12"/>
      <c r="K286" s="12"/>
      <c r="L286" s="12"/>
      <c r="M286" s="9" t="s">
        <v>17</v>
      </c>
      <c r="N286" s="12"/>
      <c r="O286" s="12"/>
      <c r="P286" s="12"/>
      <c r="Q286" s="12"/>
      <c r="R286" s="12"/>
      <c r="S286" s="12"/>
      <c r="T286" s="12"/>
      <c r="U286" s="12"/>
      <c r="V286" s="12"/>
      <c r="W286" s="12"/>
      <c r="X286" s="12"/>
      <c r="Y286" s="12"/>
      <c r="Z286" s="12"/>
      <c r="AA286" s="12"/>
      <c r="AB286" s="12"/>
      <c r="AC286" s="12"/>
      <c r="AD286" s="12"/>
      <c r="AE286" s="12"/>
      <c r="AF286" s="12"/>
      <c r="AG286" s="12"/>
    </row>
    <row r="287" spans="1:33" ht="35.1" customHeight="1">
      <c r="A287" s="35" t="s">
        <v>631</v>
      </c>
      <c r="B287" s="105">
        <v>2708</v>
      </c>
      <c r="C287" s="18"/>
      <c r="D287" s="19"/>
      <c r="E287" s="19"/>
      <c r="F287" s="234"/>
      <c r="G287" s="234"/>
      <c r="H287" s="234"/>
      <c r="I287" s="97"/>
      <c r="J287" s="19"/>
      <c r="K287" s="19"/>
      <c r="L287" s="19">
        <v>24</v>
      </c>
      <c r="M287" s="9"/>
      <c r="N287" s="12">
        <f t="shared" ref="N287:AG287" si="120">N288</f>
        <v>300</v>
      </c>
      <c r="O287" s="12">
        <f t="shared" si="120"/>
        <v>0</v>
      </c>
      <c r="P287" s="12">
        <f t="shared" si="120"/>
        <v>0</v>
      </c>
      <c r="Q287" s="12">
        <f t="shared" si="120"/>
        <v>0</v>
      </c>
      <c r="R287" s="12">
        <f t="shared" si="120"/>
        <v>300</v>
      </c>
      <c r="S287" s="12">
        <f t="shared" si="120"/>
        <v>300</v>
      </c>
      <c r="T287" s="12">
        <f t="shared" si="120"/>
        <v>0</v>
      </c>
      <c r="U287" s="12">
        <f t="shared" si="120"/>
        <v>0</v>
      </c>
      <c r="V287" s="12">
        <f t="shared" si="120"/>
        <v>0</v>
      </c>
      <c r="W287" s="12">
        <f t="shared" si="120"/>
        <v>300</v>
      </c>
      <c r="X287" s="12">
        <f t="shared" si="120"/>
        <v>300</v>
      </c>
      <c r="Y287" s="12">
        <f t="shared" si="120"/>
        <v>0</v>
      </c>
      <c r="Z287" s="12">
        <f t="shared" si="120"/>
        <v>0</v>
      </c>
      <c r="AA287" s="12">
        <f t="shared" si="120"/>
        <v>0</v>
      </c>
      <c r="AB287" s="12">
        <f t="shared" si="120"/>
        <v>300</v>
      </c>
      <c r="AC287" s="12">
        <f t="shared" si="120"/>
        <v>300</v>
      </c>
      <c r="AD287" s="12">
        <f t="shared" si="120"/>
        <v>0</v>
      </c>
      <c r="AE287" s="12">
        <f t="shared" si="120"/>
        <v>0</v>
      </c>
      <c r="AF287" s="12">
        <f t="shared" si="120"/>
        <v>0</v>
      </c>
      <c r="AG287" s="12">
        <f t="shared" si="120"/>
        <v>300</v>
      </c>
    </row>
    <row r="288" spans="1:33" ht="35.1" customHeight="1">
      <c r="A288" s="35"/>
      <c r="B288" s="105"/>
      <c r="C288" s="18"/>
      <c r="D288" s="19"/>
      <c r="E288" s="19"/>
      <c r="F288" s="39" t="s">
        <v>634</v>
      </c>
      <c r="G288" s="39" t="s">
        <v>71</v>
      </c>
      <c r="H288" s="39" t="s">
        <v>635</v>
      </c>
      <c r="I288" s="39" t="s">
        <v>814</v>
      </c>
      <c r="J288" s="39" t="s">
        <v>71</v>
      </c>
      <c r="K288" s="39" t="s">
        <v>815</v>
      </c>
      <c r="L288" s="19"/>
      <c r="M288" s="23" t="s">
        <v>609</v>
      </c>
      <c r="N288" s="12">
        <f>O288+P288+Q288+R288</f>
        <v>300</v>
      </c>
      <c r="O288" s="12"/>
      <c r="P288" s="12"/>
      <c r="Q288" s="12"/>
      <c r="R288" s="12">
        <v>300</v>
      </c>
      <c r="S288" s="12">
        <f>T288+U288+V288+W288</f>
        <v>300</v>
      </c>
      <c r="T288" s="12"/>
      <c r="U288" s="12"/>
      <c r="V288" s="12"/>
      <c r="W288" s="12">
        <v>300</v>
      </c>
      <c r="X288" s="12">
        <f>Y288+Z288+AA288+AB288</f>
        <v>300</v>
      </c>
      <c r="Y288" s="12"/>
      <c r="Z288" s="12"/>
      <c r="AA288" s="12"/>
      <c r="AB288" s="12">
        <v>300</v>
      </c>
      <c r="AC288" s="12">
        <f>AD288+AE288+AF288+AG288</f>
        <v>300</v>
      </c>
      <c r="AD288" s="12"/>
      <c r="AE288" s="12"/>
      <c r="AF288" s="12"/>
      <c r="AG288" s="12">
        <v>300</v>
      </c>
    </row>
    <row r="289" spans="1:33" ht="35.1" customHeight="1">
      <c r="A289" s="35"/>
      <c r="B289" s="105"/>
      <c r="C289" s="18"/>
      <c r="D289" s="19"/>
      <c r="E289" s="19"/>
      <c r="F289" s="39"/>
      <c r="G289" s="39"/>
      <c r="H289" s="39"/>
      <c r="I289" s="39" t="s">
        <v>811</v>
      </c>
      <c r="J289" s="39" t="s">
        <v>71</v>
      </c>
      <c r="K289" s="39" t="s">
        <v>812</v>
      </c>
      <c r="L289" s="19"/>
      <c r="M289" s="23"/>
      <c r="N289" s="12"/>
      <c r="O289" s="12"/>
      <c r="P289" s="12"/>
      <c r="Q289" s="12"/>
      <c r="R289" s="12"/>
      <c r="S289" s="12"/>
      <c r="T289" s="12"/>
      <c r="U289" s="12"/>
      <c r="V289" s="12"/>
      <c r="W289" s="12"/>
      <c r="X289" s="12"/>
      <c r="Y289" s="12"/>
      <c r="Z289" s="12"/>
      <c r="AA289" s="12"/>
      <c r="AB289" s="12"/>
      <c r="AC289" s="12"/>
      <c r="AD289" s="12"/>
      <c r="AE289" s="12"/>
      <c r="AF289" s="12"/>
      <c r="AG289" s="12"/>
    </row>
    <row r="290" spans="1:33" ht="35.1" customHeight="1">
      <c r="A290" s="35" t="s">
        <v>632</v>
      </c>
      <c r="B290" s="9">
        <v>2713</v>
      </c>
      <c r="C290" s="18"/>
      <c r="D290" s="19"/>
      <c r="E290" s="19"/>
      <c r="F290" s="19"/>
      <c r="G290" s="19"/>
      <c r="H290" s="19"/>
      <c r="I290" s="97"/>
      <c r="J290" s="19"/>
      <c r="K290" s="19"/>
      <c r="L290" s="19">
        <v>24</v>
      </c>
      <c r="M290" s="9"/>
      <c r="N290" s="173">
        <f t="shared" ref="N290:AG290" si="121">N291+N292</f>
        <v>2789.5</v>
      </c>
      <c r="O290" s="173">
        <f t="shared" si="121"/>
        <v>0</v>
      </c>
      <c r="P290" s="173">
        <f t="shared" si="121"/>
        <v>0</v>
      </c>
      <c r="Q290" s="173">
        <f t="shared" si="121"/>
        <v>0</v>
      </c>
      <c r="R290" s="173">
        <f t="shared" si="121"/>
        <v>2789.5</v>
      </c>
      <c r="S290" s="173">
        <f t="shared" si="121"/>
        <v>1999.4</v>
      </c>
      <c r="T290" s="173">
        <f t="shared" si="121"/>
        <v>0</v>
      </c>
      <c r="U290" s="173">
        <f t="shared" si="121"/>
        <v>0</v>
      </c>
      <c r="V290" s="173">
        <f t="shared" si="121"/>
        <v>0</v>
      </c>
      <c r="W290" s="173">
        <f t="shared" si="121"/>
        <v>1999.4</v>
      </c>
      <c r="X290" s="173">
        <f t="shared" si="121"/>
        <v>1999.4</v>
      </c>
      <c r="Y290" s="173">
        <f t="shared" si="121"/>
        <v>0</v>
      </c>
      <c r="Z290" s="173">
        <f t="shared" si="121"/>
        <v>0</v>
      </c>
      <c r="AA290" s="173">
        <f t="shared" si="121"/>
        <v>0</v>
      </c>
      <c r="AB290" s="173">
        <f t="shared" si="121"/>
        <v>1999.4</v>
      </c>
      <c r="AC290" s="173">
        <f t="shared" si="121"/>
        <v>1999.4</v>
      </c>
      <c r="AD290" s="173">
        <f t="shared" si="121"/>
        <v>0</v>
      </c>
      <c r="AE290" s="173">
        <f t="shared" si="121"/>
        <v>0</v>
      </c>
      <c r="AF290" s="173">
        <f t="shared" si="121"/>
        <v>0</v>
      </c>
      <c r="AG290" s="173">
        <f t="shared" si="121"/>
        <v>1999.4</v>
      </c>
    </row>
    <row r="291" spans="1:33" ht="35.1" customHeight="1">
      <c r="A291" s="35"/>
      <c r="B291" s="9"/>
      <c r="C291" s="194" t="s">
        <v>758</v>
      </c>
      <c r="D291" s="149" t="s">
        <v>71</v>
      </c>
      <c r="E291" s="160" t="s">
        <v>750</v>
      </c>
      <c r="F291" s="19"/>
      <c r="G291" s="19"/>
      <c r="H291" s="19"/>
      <c r="I291" s="145" t="s">
        <v>761</v>
      </c>
      <c r="J291" s="145" t="s">
        <v>71</v>
      </c>
      <c r="K291" s="145" t="s">
        <v>762</v>
      </c>
      <c r="L291" s="19"/>
      <c r="M291" s="23" t="s">
        <v>74</v>
      </c>
      <c r="N291" s="12">
        <f>R291</f>
        <v>1249.4000000000001</v>
      </c>
      <c r="O291" s="12"/>
      <c r="P291" s="12"/>
      <c r="Q291" s="12"/>
      <c r="R291" s="12">
        <v>1249.4000000000001</v>
      </c>
      <c r="S291" s="12">
        <f>W291</f>
        <v>1249.4000000000001</v>
      </c>
      <c r="T291" s="12"/>
      <c r="U291" s="12"/>
      <c r="V291" s="12"/>
      <c r="W291" s="12">
        <v>1249.4000000000001</v>
      </c>
      <c r="X291" s="12">
        <f>AB291</f>
        <v>1249.4000000000001</v>
      </c>
      <c r="Y291" s="12"/>
      <c r="Z291" s="12"/>
      <c r="AA291" s="12"/>
      <c r="AB291" s="12">
        <v>1249.4000000000001</v>
      </c>
      <c r="AC291" s="12">
        <f>AG291</f>
        <v>1249.4000000000001</v>
      </c>
      <c r="AD291" s="12"/>
      <c r="AE291" s="12"/>
      <c r="AF291" s="12"/>
      <c r="AG291" s="12">
        <v>1249.4000000000001</v>
      </c>
    </row>
    <row r="292" spans="1:33" ht="35.1" customHeight="1">
      <c r="A292" s="35"/>
      <c r="B292" s="9"/>
      <c r="C292" s="194" t="s">
        <v>759</v>
      </c>
      <c r="D292" s="15" t="s">
        <v>71</v>
      </c>
      <c r="E292" s="59" t="s">
        <v>760</v>
      </c>
      <c r="F292" s="19"/>
      <c r="G292" s="19"/>
      <c r="H292" s="19"/>
      <c r="I292" s="25"/>
      <c r="J292" s="25"/>
      <c r="K292" s="25"/>
      <c r="L292" s="19"/>
      <c r="M292" s="23" t="s">
        <v>75</v>
      </c>
      <c r="N292" s="12">
        <f>R292</f>
        <v>1540.1</v>
      </c>
      <c r="O292" s="12"/>
      <c r="P292" s="12"/>
      <c r="Q292" s="12"/>
      <c r="R292" s="12">
        <f>750+791.1-1</f>
        <v>1540.1</v>
      </c>
      <c r="S292" s="12">
        <v>750</v>
      </c>
      <c r="T292" s="12"/>
      <c r="U292" s="12"/>
      <c r="V292" s="12"/>
      <c r="W292" s="12">
        <v>750</v>
      </c>
      <c r="X292" s="12">
        <f>AB292</f>
        <v>750</v>
      </c>
      <c r="Y292" s="12"/>
      <c r="Z292" s="12"/>
      <c r="AA292" s="12"/>
      <c r="AB292" s="12">
        <v>750</v>
      </c>
      <c r="AC292" s="12">
        <f>AG292</f>
        <v>750</v>
      </c>
      <c r="AD292" s="12"/>
      <c r="AE292" s="12"/>
      <c r="AF292" s="12"/>
      <c r="AG292" s="12">
        <v>750</v>
      </c>
    </row>
    <row r="293" spans="1:33" ht="35.1" customHeight="1">
      <c r="A293" s="51" t="s">
        <v>428</v>
      </c>
      <c r="B293" s="9">
        <v>2714</v>
      </c>
      <c r="C293" s="209"/>
      <c r="D293" s="209"/>
      <c r="E293" s="209"/>
      <c r="F293" s="19"/>
      <c r="G293" s="19"/>
      <c r="H293" s="19"/>
      <c r="I293" s="235"/>
      <c r="J293" s="236"/>
      <c r="K293" s="236"/>
      <c r="L293" s="19">
        <v>24</v>
      </c>
      <c r="M293" s="12"/>
      <c r="N293" s="19"/>
      <c r="O293" s="19"/>
      <c r="P293" s="19"/>
      <c r="Q293" s="19"/>
      <c r="R293" s="19"/>
      <c r="S293" s="19"/>
      <c r="T293" s="19"/>
      <c r="U293" s="19"/>
      <c r="V293" s="19"/>
      <c r="W293" s="19"/>
      <c r="X293" s="19"/>
      <c r="Y293" s="19"/>
      <c r="Z293" s="19"/>
      <c r="AA293" s="19"/>
      <c r="AB293" s="19"/>
      <c r="AC293" s="19"/>
      <c r="AD293" s="19"/>
      <c r="AE293" s="19"/>
      <c r="AF293" s="19"/>
      <c r="AG293" s="19"/>
    </row>
    <row r="294" spans="1:33" ht="35.1" customHeight="1">
      <c r="A294" s="51"/>
      <c r="B294" s="103"/>
      <c r="C294" s="11"/>
      <c r="D294" s="12"/>
      <c r="E294" s="12"/>
      <c r="F294" s="12"/>
      <c r="G294" s="12"/>
      <c r="H294" s="12"/>
      <c r="I294" s="104"/>
      <c r="J294" s="12"/>
      <c r="K294" s="12"/>
      <c r="L294" s="12"/>
      <c r="M294" s="64"/>
      <c r="N294" s="12"/>
      <c r="O294" s="12"/>
      <c r="P294" s="12"/>
      <c r="Q294" s="12"/>
      <c r="R294" s="12"/>
      <c r="S294" s="12"/>
      <c r="T294" s="12"/>
      <c r="U294" s="12"/>
      <c r="V294" s="12"/>
      <c r="W294" s="12"/>
      <c r="X294" s="12"/>
      <c r="Y294" s="12"/>
      <c r="Z294" s="12"/>
      <c r="AA294" s="12"/>
      <c r="AB294" s="12"/>
      <c r="AC294" s="12"/>
      <c r="AD294" s="12"/>
      <c r="AE294" s="12"/>
      <c r="AF294" s="12"/>
      <c r="AG294" s="12"/>
    </row>
    <row r="295" spans="1:33" ht="35.1" customHeight="1">
      <c r="A295" s="51" t="s">
        <v>429</v>
      </c>
      <c r="B295" s="106">
        <v>2716</v>
      </c>
      <c r="C295" s="18"/>
      <c r="D295" s="19"/>
      <c r="E295" s="19"/>
      <c r="F295" s="19"/>
      <c r="G295" s="19"/>
      <c r="H295" s="19"/>
      <c r="I295" s="97"/>
      <c r="J295" s="19"/>
      <c r="K295" s="19"/>
      <c r="L295" s="19">
        <v>24</v>
      </c>
      <c r="M295" s="23"/>
      <c r="N295" s="19">
        <f>N297+N298+N299</f>
        <v>0</v>
      </c>
      <c r="O295" s="19">
        <f t="shared" ref="O295:AG295" si="122">O297+O298+O299</f>
        <v>0</v>
      </c>
      <c r="P295" s="19">
        <f t="shared" si="122"/>
        <v>0</v>
      </c>
      <c r="Q295" s="19">
        <f t="shared" si="122"/>
        <v>0</v>
      </c>
      <c r="R295" s="19">
        <f t="shared" si="122"/>
        <v>0</v>
      </c>
      <c r="S295" s="19">
        <f t="shared" si="122"/>
        <v>0</v>
      </c>
      <c r="T295" s="19">
        <f t="shared" si="122"/>
        <v>0</v>
      </c>
      <c r="U295" s="19">
        <f t="shared" si="122"/>
        <v>0</v>
      </c>
      <c r="V295" s="19">
        <f t="shared" si="122"/>
        <v>0</v>
      </c>
      <c r="W295" s="19">
        <f t="shared" si="122"/>
        <v>0</v>
      </c>
      <c r="X295" s="19">
        <f t="shared" si="122"/>
        <v>0</v>
      </c>
      <c r="Y295" s="19">
        <f t="shared" si="122"/>
        <v>0</v>
      </c>
      <c r="Z295" s="19">
        <f t="shared" si="122"/>
        <v>0</v>
      </c>
      <c r="AA295" s="19">
        <f t="shared" si="122"/>
        <v>0</v>
      </c>
      <c r="AB295" s="19">
        <f t="shared" si="122"/>
        <v>0</v>
      </c>
      <c r="AC295" s="19">
        <f t="shared" si="122"/>
        <v>0</v>
      </c>
      <c r="AD295" s="19">
        <f t="shared" si="122"/>
        <v>0</v>
      </c>
      <c r="AE295" s="19">
        <f t="shared" si="122"/>
        <v>0</v>
      </c>
      <c r="AF295" s="19">
        <f t="shared" si="122"/>
        <v>0</v>
      </c>
      <c r="AG295" s="19">
        <f t="shared" si="122"/>
        <v>0</v>
      </c>
    </row>
    <row r="296" spans="1:33" ht="35.1" customHeight="1">
      <c r="A296" s="51"/>
      <c r="B296" s="102"/>
      <c r="C296" s="18"/>
      <c r="D296" s="34"/>
      <c r="E296" s="34"/>
      <c r="F296" s="34"/>
      <c r="G296" s="34"/>
      <c r="H296" s="34"/>
      <c r="I296" s="107"/>
      <c r="J296" s="34"/>
      <c r="K296" s="19"/>
      <c r="L296" s="19"/>
      <c r="M296" s="23"/>
      <c r="N296" s="19"/>
      <c r="O296" s="19"/>
      <c r="P296" s="19"/>
      <c r="Q296" s="19"/>
      <c r="R296" s="19"/>
      <c r="S296" s="19"/>
      <c r="T296" s="19"/>
      <c r="U296" s="19"/>
      <c r="V296" s="19"/>
      <c r="W296" s="19"/>
      <c r="X296" s="19"/>
      <c r="Y296" s="19"/>
      <c r="Z296" s="19"/>
      <c r="AA296" s="19"/>
      <c r="AB296" s="19"/>
      <c r="AC296" s="19"/>
      <c r="AD296" s="19"/>
      <c r="AE296" s="19"/>
      <c r="AF296" s="19"/>
      <c r="AG296" s="19"/>
    </row>
    <row r="297" spans="1:33" ht="35.1" customHeight="1">
      <c r="A297" s="35"/>
      <c r="B297" s="78"/>
      <c r="C297" s="22" t="s">
        <v>259</v>
      </c>
      <c r="D297" s="22" t="s">
        <v>191</v>
      </c>
      <c r="E297" s="22" t="s">
        <v>260</v>
      </c>
      <c r="F297" s="194" t="s">
        <v>672</v>
      </c>
      <c r="G297" s="194" t="s">
        <v>111</v>
      </c>
      <c r="H297" s="108">
        <v>46119</v>
      </c>
      <c r="I297" s="22" t="s">
        <v>174</v>
      </c>
      <c r="J297" s="194" t="s">
        <v>111</v>
      </c>
      <c r="K297" s="23" t="s">
        <v>673</v>
      </c>
      <c r="L297" s="12"/>
      <c r="M297" s="23" t="s">
        <v>430</v>
      </c>
      <c r="N297" s="12">
        <f>O297+P297+Q297+R297</f>
        <v>0</v>
      </c>
      <c r="O297" s="12"/>
      <c r="P297" s="12"/>
      <c r="Q297" s="12"/>
      <c r="R297" s="12">
        <v>0</v>
      </c>
      <c r="S297" s="12">
        <f>T297+U297+V297+W297</f>
        <v>0</v>
      </c>
      <c r="T297" s="12"/>
      <c r="U297" s="12"/>
      <c r="V297" s="12"/>
      <c r="W297" s="12">
        <v>0</v>
      </c>
      <c r="X297" s="12">
        <f>Y297+Z297+AA297+AB297</f>
        <v>0</v>
      </c>
      <c r="Y297" s="12"/>
      <c r="Z297" s="12"/>
      <c r="AA297" s="12"/>
      <c r="AB297" s="12">
        <v>0</v>
      </c>
      <c r="AC297" s="12">
        <f>AD297+AE297+AF297+AG297</f>
        <v>0</v>
      </c>
      <c r="AD297" s="12"/>
      <c r="AE297" s="12"/>
      <c r="AF297" s="12"/>
      <c r="AG297" s="12">
        <v>0</v>
      </c>
    </row>
    <row r="298" spans="1:33" ht="35.1" customHeight="1">
      <c r="A298" s="35"/>
      <c r="B298" s="78"/>
      <c r="C298" s="194"/>
      <c r="D298" s="194"/>
      <c r="E298" s="194"/>
      <c r="F298" s="145"/>
      <c r="G298" s="189"/>
      <c r="H298" s="189"/>
      <c r="I298" s="194"/>
      <c r="J298" s="194"/>
      <c r="K298" s="12"/>
      <c r="L298" s="12"/>
      <c r="M298" s="23" t="s">
        <v>430</v>
      </c>
      <c r="N298" s="12">
        <f>O298+P298+Q298+R298</f>
        <v>0</v>
      </c>
      <c r="O298" s="12"/>
      <c r="P298" s="12"/>
      <c r="Q298" s="12"/>
      <c r="R298" s="12">
        <v>0</v>
      </c>
      <c r="S298" s="12"/>
      <c r="T298" s="12"/>
      <c r="U298" s="12"/>
      <c r="V298" s="12"/>
      <c r="W298" s="12">
        <v>0</v>
      </c>
      <c r="X298" s="12">
        <f>Y298+Z298+AA298+AB298</f>
        <v>0</v>
      </c>
      <c r="Y298" s="12"/>
      <c r="Z298" s="12"/>
      <c r="AA298" s="12"/>
      <c r="AB298" s="12">
        <v>0</v>
      </c>
      <c r="AC298" s="12">
        <f>AD298+AE298+AF298+AG298</f>
        <v>0</v>
      </c>
      <c r="AD298" s="12"/>
      <c r="AE298" s="12"/>
      <c r="AF298" s="12"/>
      <c r="AG298" s="12">
        <v>0</v>
      </c>
    </row>
    <row r="299" spans="1:33" ht="35.1" customHeight="1">
      <c r="A299" s="75" t="s">
        <v>431</v>
      </c>
      <c r="B299" s="78">
        <v>2800</v>
      </c>
      <c r="C299" s="15" t="s">
        <v>17</v>
      </c>
      <c r="D299" s="15" t="s">
        <v>17</v>
      </c>
      <c r="E299" s="15" t="s">
        <v>17</v>
      </c>
      <c r="F299" s="15"/>
      <c r="G299" s="15"/>
      <c r="H299" s="15"/>
      <c r="I299" s="109" t="s">
        <v>17</v>
      </c>
      <c r="J299" s="15" t="s">
        <v>17</v>
      </c>
      <c r="K299" s="15" t="s">
        <v>17</v>
      </c>
      <c r="L299" s="15" t="s">
        <v>17</v>
      </c>
      <c r="M299" s="19"/>
      <c r="N299" s="12">
        <f>O299+P299+Q299+R299</f>
        <v>0</v>
      </c>
      <c r="O299" s="12"/>
      <c r="P299" s="12"/>
      <c r="Q299" s="12"/>
      <c r="R299" s="12"/>
      <c r="S299" s="12"/>
      <c r="T299" s="12"/>
      <c r="U299" s="12"/>
      <c r="V299" s="12"/>
      <c r="W299" s="12"/>
      <c r="X299" s="12"/>
      <c r="Y299" s="12"/>
      <c r="Z299" s="12"/>
      <c r="AA299" s="12"/>
      <c r="AB299" s="12"/>
      <c r="AC299" s="12"/>
      <c r="AD299" s="12"/>
      <c r="AE299" s="12"/>
      <c r="AF299" s="12"/>
      <c r="AG299" s="12"/>
    </row>
    <row r="300" spans="1:33" ht="35.1" customHeight="1">
      <c r="A300" s="35"/>
      <c r="B300" s="110">
        <v>2801</v>
      </c>
      <c r="C300" s="18"/>
      <c r="D300" s="19"/>
      <c r="E300" s="19"/>
      <c r="F300" s="19"/>
      <c r="G300" s="19"/>
      <c r="H300" s="19"/>
      <c r="I300" s="97"/>
      <c r="J300" s="19"/>
      <c r="K300" s="19"/>
      <c r="L300" s="19"/>
      <c r="M300" s="15" t="s">
        <v>17</v>
      </c>
      <c r="N300" s="19"/>
      <c r="O300" s="19"/>
      <c r="P300" s="19"/>
      <c r="Q300" s="19"/>
      <c r="R300" s="19"/>
      <c r="S300" s="19"/>
      <c r="T300" s="19"/>
      <c r="U300" s="19"/>
      <c r="V300" s="19"/>
      <c r="W300" s="19"/>
      <c r="X300" s="19"/>
      <c r="Y300" s="19"/>
      <c r="Z300" s="19"/>
      <c r="AA300" s="19"/>
      <c r="AB300" s="19"/>
      <c r="AC300" s="19"/>
      <c r="AD300" s="19"/>
      <c r="AE300" s="19"/>
      <c r="AF300" s="19"/>
      <c r="AG300" s="19"/>
    </row>
    <row r="301" spans="1:33" ht="35.1" customHeight="1">
      <c r="A301" s="10" t="s">
        <v>19</v>
      </c>
      <c r="B301" s="2"/>
      <c r="C301" s="11"/>
      <c r="D301" s="12"/>
      <c r="E301" s="12"/>
      <c r="F301" s="12"/>
      <c r="G301" s="12"/>
      <c r="H301" s="12"/>
      <c r="I301" s="104"/>
      <c r="J301" s="12"/>
      <c r="K301" s="12"/>
      <c r="L301" s="12"/>
      <c r="M301" s="19"/>
      <c r="N301" s="12"/>
      <c r="O301" s="12"/>
      <c r="P301" s="12"/>
      <c r="Q301" s="12"/>
      <c r="R301" s="12"/>
      <c r="S301" s="12"/>
      <c r="T301" s="12"/>
      <c r="U301" s="12"/>
      <c r="V301" s="12"/>
      <c r="W301" s="12"/>
      <c r="X301" s="12"/>
      <c r="Y301" s="12"/>
      <c r="Z301" s="12"/>
      <c r="AA301" s="12"/>
      <c r="AB301" s="12"/>
      <c r="AC301" s="12"/>
      <c r="AD301" s="12"/>
      <c r="AE301" s="12"/>
      <c r="AF301" s="12"/>
      <c r="AG301" s="12"/>
    </row>
    <row r="302" spans="1:33" ht="35.1" customHeight="1">
      <c r="A302" s="111" t="s">
        <v>432</v>
      </c>
      <c r="B302" s="78">
        <v>2802</v>
      </c>
      <c r="C302" s="11"/>
      <c r="D302" s="12"/>
      <c r="E302" s="12"/>
      <c r="F302" s="12"/>
      <c r="G302" s="12"/>
      <c r="H302" s="12"/>
      <c r="I302" s="104"/>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35.1" customHeight="1">
      <c r="A303" s="75" t="s">
        <v>433</v>
      </c>
      <c r="B303" s="96">
        <v>2900</v>
      </c>
      <c r="C303" s="9" t="s">
        <v>17</v>
      </c>
      <c r="D303" s="9" t="s">
        <v>17</v>
      </c>
      <c r="E303" s="9" t="s">
        <v>17</v>
      </c>
      <c r="F303" s="9"/>
      <c r="G303" s="9"/>
      <c r="H303" s="9"/>
      <c r="I303" s="102" t="s">
        <v>17</v>
      </c>
      <c r="J303" s="9" t="s">
        <v>17</v>
      </c>
      <c r="K303" s="9" t="s">
        <v>17</v>
      </c>
      <c r="L303" s="9" t="s">
        <v>17</v>
      </c>
      <c r="M303" s="12"/>
      <c r="N303" s="19">
        <f t="shared" ref="N303:AG303" si="123">N305</f>
        <v>440</v>
      </c>
      <c r="O303" s="19">
        <f t="shared" si="123"/>
        <v>0</v>
      </c>
      <c r="P303" s="19">
        <f t="shared" si="123"/>
        <v>0</v>
      </c>
      <c r="Q303" s="19">
        <f t="shared" si="123"/>
        <v>0</v>
      </c>
      <c r="R303" s="19">
        <f t="shared" si="123"/>
        <v>440</v>
      </c>
      <c r="S303" s="19">
        <f t="shared" si="123"/>
        <v>240</v>
      </c>
      <c r="T303" s="19">
        <f t="shared" si="123"/>
        <v>0</v>
      </c>
      <c r="U303" s="19">
        <f t="shared" si="123"/>
        <v>0</v>
      </c>
      <c r="V303" s="19">
        <f t="shared" si="123"/>
        <v>0</v>
      </c>
      <c r="W303" s="19">
        <f t="shared" si="123"/>
        <v>240</v>
      </c>
      <c r="X303" s="19">
        <f t="shared" si="123"/>
        <v>240</v>
      </c>
      <c r="Y303" s="19">
        <f t="shared" si="123"/>
        <v>0</v>
      </c>
      <c r="Z303" s="19">
        <f t="shared" si="123"/>
        <v>0</v>
      </c>
      <c r="AA303" s="19">
        <f t="shared" si="123"/>
        <v>0</v>
      </c>
      <c r="AB303" s="19">
        <f t="shared" si="123"/>
        <v>240</v>
      </c>
      <c r="AC303" s="19">
        <f t="shared" si="123"/>
        <v>240</v>
      </c>
      <c r="AD303" s="19">
        <f t="shared" si="123"/>
        <v>0</v>
      </c>
      <c r="AE303" s="19">
        <f t="shared" si="123"/>
        <v>0</v>
      </c>
      <c r="AF303" s="19">
        <f t="shared" si="123"/>
        <v>0</v>
      </c>
      <c r="AG303" s="19">
        <f t="shared" si="123"/>
        <v>240</v>
      </c>
    </row>
    <row r="304" spans="1:33" ht="35.1" customHeight="1">
      <c r="A304" s="80" t="s">
        <v>19</v>
      </c>
      <c r="B304" s="78">
        <v>2901</v>
      </c>
      <c r="C304" s="11"/>
      <c r="D304" s="12"/>
      <c r="E304" s="12"/>
      <c r="F304" s="12"/>
      <c r="G304" s="12"/>
      <c r="H304" s="12"/>
      <c r="I304" s="104"/>
      <c r="J304" s="12"/>
      <c r="K304" s="12"/>
      <c r="L304" s="12"/>
      <c r="M304" s="9" t="s">
        <v>17</v>
      </c>
      <c r="N304" s="12"/>
      <c r="O304" s="12"/>
      <c r="P304" s="12"/>
      <c r="Q304" s="12"/>
      <c r="R304" s="12"/>
      <c r="S304" s="12"/>
      <c r="T304" s="12"/>
      <c r="U304" s="12"/>
      <c r="V304" s="12"/>
      <c r="W304" s="12"/>
      <c r="X304" s="12"/>
      <c r="Y304" s="12"/>
      <c r="Z304" s="12"/>
      <c r="AA304" s="12"/>
      <c r="AB304" s="12"/>
      <c r="AC304" s="12"/>
      <c r="AD304" s="12"/>
      <c r="AE304" s="12"/>
      <c r="AF304" s="12"/>
      <c r="AG304" s="12"/>
    </row>
    <row r="305" spans="1:33" ht="35.1" customHeight="1">
      <c r="A305" s="31" t="s">
        <v>434</v>
      </c>
      <c r="B305" s="110">
        <v>2902</v>
      </c>
      <c r="C305" s="33"/>
      <c r="D305" s="34"/>
      <c r="E305" s="34"/>
      <c r="F305" s="34"/>
      <c r="G305" s="34"/>
      <c r="H305" s="34"/>
      <c r="I305" s="107"/>
      <c r="J305" s="34"/>
      <c r="K305" s="34"/>
      <c r="L305" s="34">
        <v>24</v>
      </c>
      <c r="M305" s="12"/>
      <c r="N305" s="19">
        <f>N307+N308+N306+N309</f>
        <v>440</v>
      </c>
      <c r="O305" s="19">
        <f t="shared" ref="O305:AG305" si="124">O307+O308+O306+O309</f>
        <v>0</v>
      </c>
      <c r="P305" s="19">
        <f t="shared" si="124"/>
        <v>0</v>
      </c>
      <c r="Q305" s="19">
        <f t="shared" si="124"/>
        <v>0</v>
      </c>
      <c r="R305" s="19">
        <f t="shared" si="124"/>
        <v>440</v>
      </c>
      <c r="S305" s="19">
        <f t="shared" si="124"/>
        <v>240</v>
      </c>
      <c r="T305" s="19">
        <f t="shared" si="124"/>
        <v>0</v>
      </c>
      <c r="U305" s="19">
        <f t="shared" si="124"/>
        <v>0</v>
      </c>
      <c r="V305" s="19">
        <f t="shared" si="124"/>
        <v>0</v>
      </c>
      <c r="W305" s="19">
        <f t="shared" si="124"/>
        <v>240</v>
      </c>
      <c r="X305" s="19">
        <f t="shared" si="124"/>
        <v>240</v>
      </c>
      <c r="Y305" s="19">
        <f t="shared" si="124"/>
        <v>0</v>
      </c>
      <c r="Z305" s="19">
        <f t="shared" si="124"/>
        <v>0</v>
      </c>
      <c r="AA305" s="19">
        <f t="shared" si="124"/>
        <v>0</v>
      </c>
      <c r="AB305" s="19">
        <f t="shared" si="124"/>
        <v>240</v>
      </c>
      <c r="AC305" s="19">
        <f t="shared" si="124"/>
        <v>240</v>
      </c>
      <c r="AD305" s="19">
        <f t="shared" si="124"/>
        <v>0</v>
      </c>
      <c r="AE305" s="19">
        <f t="shared" si="124"/>
        <v>0</v>
      </c>
      <c r="AF305" s="19">
        <f t="shared" si="124"/>
        <v>0</v>
      </c>
      <c r="AG305" s="19">
        <f t="shared" si="124"/>
        <v>240</v>
      </c>
    </row>
    <row r="306" spans="1:33" ht="35.1" customHeight="1">
      <c r="A306" s="35"/>
      <c r="B306" s="15"/>
      <c r="C306" s="24"/>
      <c r="D306" s="11"/>
      <c r="E306" s="23"/>
      <c r="F306" s="23"/>
      <c r="G306" s="23"/>
      <c r="H306" s="23"/>
      <c r="I306" s="23" t="s">
        <v>435</v>
      </c>
      <c r="J306" s="12" t="s">
        <v>71</v>
      </c>
      <c r="K306" s="23" t="s">
        <v>713</v>
      </c>
      <c r="L306" s="12"/>
      <c r="M306" s="23" t="s">
        <v>436</v>
      </c>
      <c r="N306" s="12">
        <f t="shared" ref="N306:N309" si="125">O306+P306+Q306+R306</f>
        <v>100</v>
      </c>
      <c r="O306" s="12"/>
      <c r="P306" s="12"/>
      <c r="Q306" s="12"/>
      <c r="R306" s="12">
        <v>100</v>
      </c>
      <c r="S306" s="12">
        <f t="shared" ref="S306:S309" si="126">T306+U306+V306+W306</f>
        <v>100</v>
      </c>
      <c r="T306" s="12"/>
      <c r="U306" s="12"/>
      <c r="V306" s="12"/>
      <c r="W306" s="12">
        <v>100</v>
      </c>
      <c r="X306" s="12">
        <f t="shared" ref="X306:X309" si="127">Y306+Z306+AA306+AB306</f>
        <v>100</v>
      </c>
      <c r="Y306" s="12"/>
      <c r="Z306" s="12"/>
      <c r="AA306" s="12"/>
      <c r="AB306" s="12">
        <v>100</v>
      </c>
      <c r="AC306" s="12">
        <f t="shared" ref="AC306:AC309" si="128">AD306+AE306+AF306+AG306</f>
        <v>100</v>
      </c>
      <c r="AD306" s="12"/>
      <c r="AE306" s="12"/>
      <c r="AF306" s="12"/>
      <c r="AG306" s="12">
        <v>100</v>
      </c>
    </row>
    <row r="307" spans="1:33" ht="35.1" customHeight="1">
      <c r="A307" s="35"/>
      <c r="B307" s="15"/>
      <c r="C307" s="24"/>
      <c r="D307" s="11"/>
      <c r="E307" s="23"/>
      <c r="F307" s="23"/>
      <c r="G307" s="23"/>
      <c r="H307" s="23"/>
      <c r="I307" s="48" t="s">
        <v>437</v>
      </c>
      <c r="J307" s="12" t="s">
        <v>71</v>
      </c>
      <c r="K307" s="23" t="s">
        <v>714</v>
      </c>
      <c r="L307" s="12"/>
      <c r="M307" s="23" t="s">
        <v>438</v>
      </c>
      <c r="N307" s="12">
        <f t="shared" si="125"/>
        <v>0</v>
      </c>
      <c r="O307" s="12"/>
      <c r="P307" s="12"/>
      <c r="Q307" s="12"/>
      <c r="R307" s="12">
        <v>0</v>
      </c>
      <c r="S307" s="12">
        <f t="shared" si="126"/>
        <v>0</v>
      </c>
      <c r="T307" s="12"/>
      <c r="U307" s="12"/>
      <c r="V307" s="12"/>
      <c r="W307" s="12">
        <v>0</v>
      </c>
      <c r="X307" s="12">
        <f t="shared" si="127"/>
        <v>0</v>
      </c>
      <c r="Y307" s="12"/>
      <c r="Z307" s="12"/>
      <c r="AA307" s="12"/>
      <c r="AB307" s="12">
        <v>0</v>
      </c>
      <c r="AC307" s="12">
        <f t="shared" si="128"/>
        <v>0</v>
      </c>
      <c r="AD307" s="12"/>
      <c r="AE307" s="12"/>
      <c r="AF307" s="12"/>
      <c r="AG307" s="12">
        <v>0</v>
      </c>
    </row>
    <row r="308" spans="1:33" ht="35.1" customHeight="1">
      <c r="A308" s="51"/>
      <c r="B308" s="15"/>
      <c r="C308" s="11"/>
      <c r="D308" s="12"/>
      <c r="E308" s="12"/>
      <c r="F308" s="12"/>
      <c r="G308" s="12"/>
      <c r="H308" s="12"/>
      <c r="I308" s="23" t="s">
        <v>435</v>
      </c>
      <c r="J308" s="12" t="s">
        <v>71</v>
      </c>
      <c r="K308" s="23" t="s">
        <v>713</v>
      </c>
      <c r="L308" s="12"/>
      <c r="M308" s="23" t="s">
        <v>439</v>
      </c>
      <c r="N308" s="12">
        <f t="shared" si="125"/>
        <v>140</v>
      </c>
      <c r="O308" s="12"/>
      <c r="P308" s="12"/>
      <c r="Q308" s="12"/>
      <c r="R308" s="12">
        <v>140</v>
      </c>
      <c r="S308" s="12">
        <f t="shared" si="126"/>
        <v>140</v>
      </c>
      <c r="T308" s="12"/>
      <c r="U308" s="12"/>
      <c r="V308" s="12"/>
      <c r="W308" s="12">
        <v>140</v>
      </c>
      <c r="X308" s="12">
        <f t="shared" si="127"/>
        <v>140</v>
      </c>
      <c r="Y308" s="12"/>
      <c r="Z308" s="12"/>
      <c r="AA308" s="12"/>
      <c r="AB308" s="12">
        <v>140</v>
      </c>
      <c r="AC308" s="12">
        <f t="shared" si="128"/>
        <v>140</v>
      </c>
      <c r="AD308" s="12"/>
      <c r="AE308" s="12"/>
      <c r="AF308" s="12"/>
      <c r="AG308" s="12">
        <v>140</v>
      </c>
    </row>
    <row r="309" spans="1:33" ht="35.1" customHeight="1">
      <c r="A309" s="62"/>
      <c r="B309" s="112"/>
      <c r="C309" s="45"/>
      <c r="D309" s="45"/>
      <c r="E309" s="45"/>
      <c r="F309" s="45"/>
      <c r="G309" s="45"/>
      <c r="H309" s="45"/>
      <c r="I309" s="23" t="s">
        <v>440</v>
      </c>
      <c r="J309" s="12" t="s">
        <v>71</v>
      </c>
      <c r="K309" s="45" t="s">
        <v>715</v>
      </c>
      <c r="L309" s="45"/>
      <c r="M309" s="184" t="s">
        <v>441</v>
      </c>
      <c r="N309" s="12">
        <f t="shared" si="125"/>
        <v>200</v>
      </c>
      <c r="O309" s="37"/>
      <c r="P309" s="37"/>
      <c r="Q309" s="37"/>
      <c r="R309" s="37">
        <v>200</v>
      </c>
      <c r="S309" s="12">
        <f t="shared" si="126"/>
        <v>0</v>
      </c>
      <c r="T309" s="37"/>
      <c r="U309" s="37"/>
      <c r="V309" s="37"/>
      <c r="W309" s="37"/>
      <c r="X309" s="12">
        <f t="shared" si="127"/>
        <v>0</v>
      </c>
      <c r="Y309" s="37"/>
      <c r="Z309" s="37"/>
      <c r="AA309" s="37"/>
      <c r="AB309" s="37"/>
      <c r="AC309" s="12">
        <f t="shared" si="128"/>
        <v>0</v>
      </c>
      <c r="AD309" s="37"/>
      <c r="AE309" s="37"/>
      <c r="AF309" s="37"/>
      <c r="AG309" s="37">
        <v>0</v>
      </c>
    </row>
    <row r="310" spans="1:33" ht="35.1" customHeight="1">
      <c r="A310" s="101"/>
      <c r="B310" s="47">
        <v>3000</v>
      </c>
      <c r="C310" s="156" t="s">
        <v>17</v>
      </c>
      <c r="D310" s="156" t="s">
        <v>17</v>
      </c>
      <c r="E310" s="156" t="s">
        <v>17</v>
      </c>
      <c r="F310" s="156"/>
      <c r="G310" s="156"/>
      <c r="H310" s="156"/>
      <c r="I310" s="113" t="s">
        <v>17</v>
      </c>
      <c r="J310" s="156" t="s">
        <v>17</v>
      </c>
      <c r="K310" s="156" t="s">
        <v>17</v>
      </c>
      <c r="L310" s="156" t="s">
        <v>17</v>
      </c>
      <c r="M310" s="184"/>
      <c r="N310" s="37"/>
      <c r="O310" s="37"/>
      <c r="P310" s="37"/>
      <c r="Q310" s="37"/>
      <c r="R310" s="37"/>
      <c r="S310" s="37"/>
      <c r="T310" s="37"/>
      <c r="U310" s="37"/>
      <c r="V310" s="37"/>
      <c r="W310" s="37"/>
      <c r="X310" s="37"/>
      <c r="Y310" s="37"/>
      <c r="Z310" s="37"/>
      <c r="AA310" s="37"/>
      <c r="AB310" s="37"/>
      <c r="AC310" s="37"/>
      <c r="AD310" s="37"/>
      <c r="AE310" s="37"/>
      <c r="AF310" s="37"/>
      <c r="AG310" s="37"/>
    </row>
    <row r="311" spans="1:33" ht="35.1" customHeight="1">
      <c r="A311" s="114" t="s">
        <v>19</v>
      </c>
      <c r="B311" s="115">
        <v>3001</v>
      </c>
      <c r="C311" s="11"/>
      <c r="D311" s="12"/>
      <c r="E311" s="12"/>
      <c r="F311" s="12"/>
      <c r="G311" s="12"/>
      <c r="H311" s="12"/>
      <c r="I311" s="104"/>
      <c r="J311" s="12"/>
      <c r="K311" s="12"/>
      <c r="L311" s="12"/>
      <c r="M311" s="156" t="s">
        <v>17</v>
      </c>
      <c r="N311" s="12"/>
      <c r="O311" s="12"/>
      <c r="P311" s="12"/>
      <c r="Q311" s="12"/>
      <c r="R311" s="12"/>
      <c r="S311" s="12"/>
      <c r="T311" s="12"/>
      <c r="U311" s="12"/>
      <c r="V311" s="12"/>
      <c r="W311" s="12"/>
      <c r="X311" s="12"/>
      <c r="Y311" s="12"/>
      <c r="Z311" s="12"/>
      <c r="AA311" s="12"/>
      <c r="AB311" s="12"/>
      <c r="AC311" s="12"/>
      <c r="AD311" s="12"/>
      <c r="AE311" s="12"/>
      <c r="AF311" s="12"/>
      <c r="AG311" s="12"/>
    </row>
    <row r="312" spans="1:33" ht="35.1" customHeight="1">
      <c r="A312" s="111" t="s">
        <v>432</v>
      </c>
      <c r="B312" s="47"/>
      <c r="C312" s="11"/>
      <c r="D312" s="12"/>
      <c r="E312" s="12"/>
      <c r="F312" s="12"/>
      <c r="G312" s="12"/>
      <c r="H312" s="12"/>
      <c r="I312" s="104"/>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35.1" customHeight="1">
      <c r="A313" s="77" t="s">
        <v>432</v>
      </c>
      <c r="B313" s="78">
        <v>3002</v>
      </c>
      <c r="C313" s="11"/>
      <c r="D313" s="12"/>
      <c r="E313" s="12"/>
      <c r="F313" s="12"/>
      <c r="G313" s="12"/>
      <c r="H313" s="12"/>
      <c r="I313" s="104"/>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35.1" customHeight="1">
      <c r="A314" s="75" t="s">
        <v>442</v>
      </c>
      <c r="B314" s="96">
        <v>3100</v>
      </c>
      <c r="C314" s="9" t="s">
        <v>17</v>
      </c>
      <c r="D314" s="9" t="s">
        <v>17</v>
      </c>
      <c r="E314" s="9" t="s">
        <v>17</v>
      </c>
      <c r="F314" s="9"/>
      <c r="G314" s="9"/>
      <c r="H314" s="9"/>
      <c r="I314" s="102" t="s">
        <v>17</v>
      </c>
      <c r="J314" s="9" t="s">
        <v>17</v>
      </c>
      <c r="K314" s="9" t="s">
        <v>17</v>
      </c>
      <c r="L314" s="9" t="s">
        <v>17</v>
      </c>
      <c r="M314" s="12"/>
      <c r="N314" s="19">
        <f t="shared" ref="N314:AG314" si="129">N318+N320+N327+N344+N354+N357+N359+N363+N367+N376+N373+N324</f>
        <v>76297.600000000006</v>
      </c>
      <c r="O314" s="19">
        <f t="shared" si="129"/>
        <v>11377.9</v>
      </c>
      <c r="P314" s="19">
        <f t="shared" si="129"/>
        <v>64919.7</v>
      </c>
      <c r="Q314" s="19">
        <f t="shared" si="129"/>
        <v>0</v>
      </c>
      <c r="R314" s="19">
        <f t="shared" si="129"/>
        <v>0</v>
      </c>
      <c r="S314" s="19">
        <f t="shared" si="129"/>
        <v>75423.8</v>
      </c>
      <c r="T314" s="19">
        <f t="shared" si="129"/>
        <v>11509.5</v>
      </c>
      <c r="U314" s="19">
        <f t="shared" si="129"/>
        <v>63914.3</v>
      </c>
      <c r="V314" s="19">
        <f t="shared" si="129"/>
        <v>0</v>
      </c>
      <c r="W314" s="19">
        <f t="shared" si="129"/>
        <v>0</v>
      </c>
      <c r="X314" s="19">
        <f t="shared" si="129"/>
        <v>75527.300000000017</v>
      </c>
      <c r="Y314" s="19">
        <f t="shared" si="129"/>
        <v>12910.599999999999</v>
      </c>
      <c r="Z314" s="19">
        <f t="shared" si="129"/>
        <v>62616.7</v>
      </c>
      <c r="AA314" s="19">
        <f t="shared" si="129"/>
        <v>0</v>
      </c>
      <c r="AB314" s="19">
        <f t="shared" si="129"/>
        <v>0</v>
      </c>
      <c r="AC314" s="19">
        <f t="shared" si="129"/>
        <v>75527.300000000017</v>
      </c>
      <c r="AD314" s="19">
        <f t="shared" si="129"/>
        <v>12910.599999999999</v>
      </c>
      <c r="AE314" s="19">
        <f t="shared" si="129"/>
        <v>62616.7</v>
      </c>
      <c r="AF314" s="19">
        <f t="shared" si="129"/>
        <v>0</v>
      </c>
      <c r="AG314" s="19">
        <f t="shared" si="129"/>
        <v>0</v>
      </c>
    </row>
    <row r="315" spans="1:33" ht="35.1" customHeight="1">
      <c r="A315" s="77" t="s">
        <v>443</v>
      </c>
      <c r="B315" s="78">
        <v>3101</v>
      </c>
      <c r="C315" s="15" t="s">
        <v>17</v>
      </c>
      <c r="D315" s="15" t="s">
        <v>17</v>
      </c>
      <c r="E315" s="15" t="s">
        <v>17</v>
      </c>
      <c r="F315" s="15"/>
      <c r="G315" s="15"/>
      <c r="H315" s="15"/>
      <c r="I315" s="109" t="s">
        <v>17</v>
      </c>
      <c r="J315" s="15" t="s">
        <v>17</v>
      </c>
      <c r="K315" s="15" t="s">
        <v>17</v>
      </c>
      <c r="L315" s="15" t="s">
        <v>17</v>
      </c>
      <c r="M315" s="9" t="s">
        <v>17</v>
      </c>
      <c r="N315" s="12"/>
      <c r="O315" s="12"/>
      <c r="P315" s="12"/>
      <c r="Q315" s="12"/>
      <c r="R315" s="12"/>
      <c r="S315" s="12"/>
      <c r="T315" s="12"/>
      <c r="U315" s="12"/>
      <c r="V315" s="12"/>
      <c r="W315" s="12"/>
      <c r="X315" s="12"/>
      <c r="Y315" s="12"/>
      <c r="Z315" s="12"/>
      <c r="AA315" s="12"/>
      <c r="AB315" s="12"/>
      <c r="AC315" s="12"/>
      <c r="AD315" s="12"/>
      <c r="AE315" s="12"/>
      <c r="AF315" s="12"/>
      <c r="AG315" s="12"/>
    </row>
    <row r="316" spans="1:33" ht="35.1" customHeight="1">
      <c r="A316" s="10" t="s">
        <v>19</v>
      </c>
      <c r="B316" s="115">
        <v>3102</v>
      </c>
      <c r="C316" s="11"/>
      <c r="D316" s="12"/>
      <c r="E316" s="12"/>
      <c r="F316" s="12"/>
      <c r="G316" s="12"/>
      <c r="H316" s="12"/>
      <c r="I316" s="104"/>
      <c r="J316" s="12"/>
      <c r="K316" s="12"/>
      <c r="L316" s="12"/>
      <c r="M316" s="15" t="s">
        <v>17</v>
      </c>
      <c r="N316" s="12"/>
      <c r="O316" s="12"/>
      <c r="P316" s="12"/>
      <c r="Q316" s="12"/>
      <c r="R316" s="12"/>
      <c r="S316" s="12"/>
      <c r="T316" s="12"/>
      <c r="U316" s="12"/>
      <c r="V316" s="12"/>
      <c r="W316" s="12"/>
      <c r="X316" s="12"/>
      <c r="Y316" s="12"/>
      <c r="Z316" s="12"/>
      <c r="AA316" s="12"/>
      <c r="AB316" s="12"/>
      <c r="AC316" s="12"/>
      <c r="AD316" s="12"/>
      <c r="AE316" s="12"/>
      <c r="AF316" s="12"/>
      <c r="AG316" s="12"/>
    </row>
    <row r="317" spans="1:33" ht="35.1" customHeight="1">
      <c r="A317" s="111" t="s">
        <v>432</v>
      </c>
      <c r="B317" s="47"/>
      <c r="C317" s="11"/>
      <c r="D317" s="12"/>
      <c r="E317" s="12"/>
      <c r="F317" s="12"/>
      <c r="G317" s="12"/>
      <c r="H317" s="12"/>
      <c r="I317" s="104"/>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35.1" customHeight="1" thickBot="1">
      <c r="A318" s="16" t="s">
        <v>444</v>
      </c>
      <c r="B318" s="96">
        <v>3103</v>
      </c>
      <c r="C318" s="18"/>
      <c r="D318" s="19"/>
      <c r="E318" s="19"/>
      <c r="F318" s="19"/>
      <c r="G318" s="19"/>
      <c r="H318" s="19"/>
      <c r="I318" s="97"/>
      <c r="J318" s="19"/>
      <c r="K318" s="19"/>
      <c r="L318" s="19"/>
      <c r="M318" s="12"/>
      <c r="N318" s="19">
        <f t="shared" ref="N318:AG318" si="130">N319</f>
        <v>99.9</v>
      </c>
      <c r="O318" s="19">
        <f t="shared" si="130"/>
        <v>99.9</v>
      </c>
      <c r="P318" s="19">
        <f t="shared" si="130"/>
        <v>0</v>
      </c>
      <c r="Q318" s="19">
        <f t="shared" si="130"/>
        <v>0</v>
      </c>
      <c r="R318" s="19">
        <f t="shared" si="130"/>
        <v>0</v>
      </c>
      <c r="S318" s="19">
        <f t="shared" si="130"/>
        <v>3.5</v>
      </c>
      <c r="T318" s="19">
        <f t="shared" si="130"/>
        <v>3.5</v>
      </c>
      <c r="U318" s="19">
        <f t="shared" si="130"/>
        <v>0</v>
      </c>
      <c r="V318" s="19">
        <f t="shared" si="130"/>
        <v>0</v>
      </c>
      <c r="W318" s="19">
        <f t="shared" si="130"/>
        <v>0</v>
      </c>
      <c r="X318" s="19">
        <f t="shared" si="130"/>
        <v>3.8</v>
      </c>
      <c r="Y318" s="19">
        <f t="shared" si="130"/>
        <v>3.8</v>
      </c>
      <c r="Z318" s="19">
        <f t="shared" si="130"/>
        <v>0</v>
      </c>
      <c r="AA318" s="19">
        <f t="shared" si="130"/>
        <v>0</v>
      </c>
      <c r="AB318" s="19">
        <f t="shared" si="130"/>
        <v>0</v>
      </c>
      <c r="AC318" s="19">
        <f t="shared" si="130"/>
        <v>3.8</v>
      </c>
      <c r="AD318" s="19">
        <f t="shared" si="130"/>
        <v>3.8</v>
      </c>
      <c r="AE318" s="19">
        <f t="shared" si="130"/>
        <v>0</v>
      </c>
      <c r="AF318" s="19">
        <f t="shared" si="130"/>
        <v>0</v>
      </c>
      <c r="AG318" s="19">
        <f t="shared" si="130"/>
        <v>0</v>
      </c>
    </row>
    <row r="319" spans="1:33" ht="35.1" customHeight="1" thickBot="1">
      <c r="A319" s="13"/>
      <c r="B319" s="78"/>
      <c r="C319" s="22" t="s">
        <v>445</v>
      </c>
      <c r="D319" s="22" t="s">
        <v>87</v>
      </c>
      <c r="E319" s="22" t="s">
        <v>446</v>
      </c>
      <c r="F319" s="22" t="s">
        <v>447</v>
      </c>
      <c r="G319" s="22" t="s">
        <v>27</v>
      </c>
      <c r="H319" s="22" t="s">
        <v>448</v>
      </c>
      <c r="I319" s="104"/>
      <c r="J319" s="12"/>
      <c r="K319" s="12"/>
      <c r="L319" s="12"/>
      <c r="M319" s="23" t="s">
        <v>449</v>
      </c>
      <c r="N319" s="12">
        <f>O319+P319+Q319+R319</f>
        <v>99.9</v>
      </c>
      <c r="O319" s="12">
        <v>99.9</v>
      </c>
      <c r="P319" s="12"/>
      <c r="Q319" s="12"/>
      <c r="R319" s="12"/>
      <c r="S319" s="12">
        <f>T319+U319+V319+W319</f>
        <v>3.5</v>
      </c>
      <c r="T319" s="12">
        <v>3.5</v>
      </c>
      <c r="U319" s="12"/>
      <c r="V319" s="12"/>
      <c r="W319" s="12"/>
      <c r="X319" s="12">
        <f>Y319+Z319+AA319+AB319</f>
        <v>3.8</v>
      </c>
      <c r="Y319" s="12">
        <v>3.8</v>
      </c>
      <c r="Z319" s="12"/>
      <c r="AA319" s="12"/>
      <c r="AB319" s="12"/>
      <c r="AC319" s="12">
        <f>AD319+AE319+AF319+AG319</f>
        <v>3.8</v>
      </c>
      <c r="AD319" s="12">
        <v>3.8</v>
      </c>
      <c r="AE319" s="12"/>
      <c r="AF319" s="12"/>
      <c r="AG319" s="12"/>
    </row>
    <row r="320" spans="1:33" ht="35.1" customHeight="1">
      <c r="A320" s="31" t="s">
        <v>450</v>
      </c>
      <c r="B320" s="96">
        <v>3104</v>
      </c>
      <c r="C320" s="18"/>
      <c r="D320" s="19"/>
      <c r="E320" s="19"/>
      <c r="F320" s="19"/>
      <c r="G320" s="19"/>
      <c r="H320" s="19"/>
      <c r="I320" s="97"/>
      <c r="J320" s="19"/>
      <c r="K320" s="19"/>
      <c r="L320" s="19"/>
      <c r="N320" s="19">
        <f>N321+N323+N322</f>
        <v>5841.1</v>
      </c>
      <c r="O320" s="19">
        <f>O321+O323+O322</f>
        <v>5841.1</v>
      </c>
      <c r="P320" s="19">
        <f>P321+P323</f>
        <v>0</v>
      </c>
      <c r="Q320" s="19">
        <f>Q321+Q323</f>
        <v>0</v>
      </c>
      <c r="R320" s="19">
        <f>R321+R323</f>
        <v>0</v>
      </c>
      <c r="S320" s="19">
        <f>S321+S323+S322</f>
        <v>6559.9</v>
      </c>
      <c r="T320" s="19">
        <f>T321+T323+T322</f>
        <v>6559.9</v>
      </c>
      <c r="U320" s="19">
        <f>U321+U323</f>
        <v>0</v>
      </c>
      <c r="V320" s="19">
        <f>V321+V323</f>
        <v>0</v>
      </c>
      <c r="W320" s="19">
        <f>W321+W323</f>
        <v>0</v>
      </c>
      <c r="X320" s="19">
        <f>X321+X323+X322</f>
        <v>8467.7999999999993</v>
      </c>
      <c r="Y320" s="19">
        <f>Y321+Y323+Y322</f>
        <v>8467.7999999999993</v>
      </c>
      <c r="Z320" s="19">
        <f t="shared" ref="Z320:AG320" si="131">Z321+Z323</f>
        <v>0</v>
      </c>
      <c r="AA320" s="19">
        <f t="shared" si="131"/>
        <v>0</v>
      </c>
      <c r="AB320" s="19">
        <f t="shared" si="131"/>
        <v>0</v>
      </c>
      <c r="AC320" s="19">
        <f>AC321+AC323+AC322</f>
        <v>8467.7999999999993</v>
      </c>
      <c r="AD320" s="19">
        <f>AD321+AD323+AD322</f>
        <v>8467.7999999999993</v>
      </c>
      <c r="AE320" s="19">
        <f t="shared" si="131"/>
        <v>0</v>
      </c>
      <c r="AF320" s="19">
        <f t="shared" si="131"/>
        <v>0</v>
      </c>
      <c r="AG320" s="19">
        <f t="shared" si="131"/>
        <v>0</v>
      </c>
    </row>
    <row r="321" spans="1:33" ht="35.1" customHeight="1">
      <c r="A321" s="35"/>
      <c r="B321" s="78"/>
      <c r="C321" s="39" t="s">
        <v>451</v>
      </c>
      <c r="D321" s="39" t="s">
        <v>71</v>
      </c>
      <c r="E321" s="39" t="s">
        <v>793</v>
      </c>
      <c r="F321" s="23"/>
      <c r="G321" s="23"/>
      <c r="H321" s="23"/>
      <c r="I321" s="116" t="s">
        <v>452</v>
      </c>
      <c r="J321" s="23" t="s">
        <v>71</v>
      </c>
      <c r="K321" s="23" t="s">
        <v>794</v>
      </c>
      <c r="L321" s="12"/>
      <c r="M321" s="23" t="s">
        <v>453</v>
      </c>
      <c r="N321" s="12">
        <f>O321+P321+Q321+R321</f>
        <v>4409.5</v>
      </c>
      <c r="O321" s="12">
        <v>4409.5</v>
      </c>
      <c r="P321" s="12"/>
      <c r="Q321" s="12"/>
      <c r="R321" s="12"/>
      <c r="S321" s="12">
        <f>T321+U321+V321+W321</f>
        <v>4961.5</v>
      </c>
      <c r="T321" s="12">
        <v>4961.5</v>
      </c>
      <c r="U321" s="12"/>
      <c r="V321" s="12"/>
      <c r="W321" s="12"/>
      <c r="X321" s="12">
        <f>Y321+Z321+AA321+AB321</f>
        <v>6426.9</v>
      </c>
      <c r="Y321" s="12">
        <v>6426.9</v>
      </c>
      <c r="Z321" s="12"/>
      <c r="AA321" s="12"/>
      <c r="AB321" s="12"/>
      <c r="AC321" s="12">
        <f>AD321+AE321+AF321+AG321</f>
        <v>6426.9</v>
      </c>
      <c r="AD321" s="12">
        <v>6426.9</v>
      </c>
      <c r="AE321" s="12"/>
      <c r="AF321" s="12"/>
      <c r="AG321" s="12"/>
    </row>
    <row r="322" spans="1:33" ht="35.1" customHeight="1">
      <c r="A322" s="35"/>
      <c r="B322" s="78"/>
      <c r="C322" s="39"/>
      <c r="D322" s="23"/>
      <c r="E322" s="23"/>
      <c r="F322" s="23"/>
      <c r="G322" s="23"/>
      <c r="H322" s="23"/>
      <c r="I322" s="49"/>
      <c r="J322" s="23"/>
      <c r="K322" s="23"/>
      <c r="L322" s="12"/>
      <c r="M322" s="23" t="s">
        <v>454</v>
      </c>
      <c r="N322" s="12">
        <f>O322+P322+Q322+R322</f>
        <v>1331.6</v>
      </c>
      <c r="O322" s="12">
        <v>1331.6</v>
      </c>
      <c r="P322" s="12"/>
      <c r="Q322" s="12"/>
      <c r="R322" s="12"/>
      <c r="S322" s="12">
        <f>T322+U322+V322+W322</f>
        <v>1498.4</v>
      </c>
      <c r="T322" s="12">
        <v>1498.4</v>
      </c>
      <c r="U322" s="12"/>
      <c r="V322" s="12"/>
      <c r="W322" s="12"/>
      <c r="X322" s="12">
        <f>Y322+Z322+AA322+AB322</f>
        <v>1940.9</v>
      </c>
      <c r="Y322" s="12">
        <v>1940.9</v>
      </c>
      <c r="Z322" s="12"/>
      <c r="AA322" s="12"/>
      <c r="AB322" s="12"/>
      <c r="AC322" s="12">
        <f>AD322+AE322+AF322+AG322</f>
        <v>1940.9</v>
      </c>
      <c r="AD322" s="12">
        <v>1940.9</v>
      </c>
      <c r="AE322" s="12"/>
      <c r="AF322" s="12"/>
      <c r="AG322" s="12"/>
    </row>
    <row r="323" spans="1:33" ht="35.1" customHeight="1">
      <c r="A323" s="35"/>
      <c r="B323" s="78"/>
      <c r="C323" s="39"/>
      <c r="D323" s="23"/>
      <c r="E323" s="23"/>
      <c r="F323" s="23"/>
      <c r="G323" s="23"/>
      <c r="H323" s="23"/>
      <c r="I323" s="49"/>
      <c r="J323" s="23"/>
      <c r="K323" s="23"/>
      <c r="L323" s="12"/>
      <c r="M323" s="23" t="s">
        <v>455</v>
      </c>
      <c r="N323" s="12">
        <f>O323+P323+Q323+R323</f>
        <v>100</v>
      </c>
      <c r="O323" s="12">
        <v>100</v>
      </c>
      <c r="P323" s="12"/>
      <c r="Q323" s="12"/>
      <c r="R323" s="12"/>
      <c r="S323" s="12">
        <f>T323+U323+V323+W323</f>
        <v>100</v>
      </c>
      <c r="T323" s="12">
        <v>100</v>
      </c>
      <c r="U323" s="12"/>
      <c r="V323" s="12"/>
      <c r="W323" s="12"/>
      <c r="X323" s="12">
        <f>Y323+Z323+AA323+AB323</f>
        <v>100</v>
      </c>
      <c r="Y323" s="12">
        <v>100</v>
      </c>
      <c r="Z323" s="12"/>
      <c r="AA323" s="12"/>
      <c r="AB323" s="12"/>
      <c r="AC323" s="12">
        <f>AD323+AE323+AF323+AG323</f>
        <v>100</v>
      </c>
      <c r="AD323" s="12">
        <v>100</v>
      </c>
      <c r="AE323" s="12"/>
      <c r="AF323" s="12"/>
      <c r="AG323" s="12"/>
    </row>
    <row r="324" spans="1:33" ht="35.1" customHeight="1">
      <c r="A324" s="75" t="s">
        <v>456</v>
      </c>
      <c r="B324" s="96"/>
      <c r="C324" s="64"/>
      <c r="D324" s="64"/>
      <c r="E324" s="64"/>
      <c r="F324" s="64"/>
      <c r="G324" s="64"/>
      <c r="H324" s="64"/>
      <c r="I324" s="100"/>
      <c r="J324" s="64"/>
      <c r="K324" s="64"/>
      <c r="L324" s="19"/>
      <c r="M324" s="23"/>
      <c r="N324" s="19"/>
      <c r="O324" s="19"/>
      <c r="P324" s="19"/>
      <c r="Q324" s="19"/>
      <c r="R324" s="19"/>
      <c r="S324" s="19"/>
      <c r="T324" s="19"/>
      <c r="U324" s="19"/>
      <c r="V324" s="19"/>
      <c r="W324" s="19"/>
      <c r="X324" s="19"/>
      <c r="Y324" s="19"/>
      <c r="Z324" s="19"/>
      <c r="AA324" s="19"/>
      <c r="AB324" s="19"/>
      <c r="AC324" s="19"/>
      <c r="AD324" s="19"/>
      <c r="AE324" s="19"/>
      <c r="AF324" s="19"/>
      <c r="AG324" s="19"/>
    </row>
    <row r="325" spans="1:33" ht="35.1" customHeight="1">
      <c r="A325" s="8" t="s">
        <v>457</v>
      </c>
      <c r="B325" s="78">
        <v>3200</v>
      </c>
      <c r="C325" s="15" t="s">
        <v>17</v>
      </c>
      <c r="D325" s="15" t="s">
        <v>17</v>
      </c>
      <c r="E325" s="15" t="s">
        <v>17</v>
      </c>
      <c r="F325" s="15"/>
      <c r="G325" s="15"/>
      <c r="H325" s="15"/>
      <c r="I325" s="109" t="s">
        <v>17</v>
      </c>
      <c r="J325" s="15" t="s">
        <v>17</v>
      </c>
      <c r="K325" s="15" t="s">
        <v>17</v>
      </c>
      <c r="L325" s="15" t="s">
        <v>17</v>
      </c>
      <c r="M325" s="15" t="s">
        <v>17</v>
      </c>
      <c r="N325" s="12"/>
      <c r="O325" s="12"/>
      <c r="P325" s="12"/>
      <c r="Q325" s="12"/>
      <c r="R325" s="12"/>
      <c r="S325" s="12"/>
      <c r="T325" s="12"/>
      <c r="U325" s="12"/>
      <c r="V325" s="12"/>
      <c r="W325" s="12"/>
      <c r="X325" s="12"/>
      <c r="Y325" s="12"/>
      <c r="Z325" s="12"/>
      <c r="AA325" s="12"/>
      <c r="AB325" s="12"/>
      <c r="AC325" s="12"/>
      <c r="AD325" s="12"/>
      <c r="AE325" s="12"/>
      <c r="AF325" s="12"/>
      <c r="AG325" s="12"/>
    </row>
    <row r="326" spans="1:33" ht="35.1" customHeight="1">
      <c r="A326" s="10" t="s">
        <v>19</v>
      </c>
      <c r="B326" s="115">
        <v>3201</v>
      </c>
      <c r="C326" s="11"/>
      <c r="D326" s="12"/>
      <c r="E326" s="12"/>
      <c r="F326" s="12"/>
      <c r="G326" s="12"/>
      <c r="H326" s="12"/>
      <c r="I326" s="104"/>
      <c r="J326" s="12"/>
      <c r="K326" s="12"/>
      <c r="L326" s="12"/>
      <c r="M326" s="23"/>
      <c r="N326" s="12"/>
      <c r="O326" s="12"/>
      <c r="P326" s="12"/>
      <c r="Q326" s="12"/>
      <c r="R326" s="12"/>
      <c r="S326" s="12"/>
      <c r="T326" s="12"/>
      <c r="U326" s="12"/>
      <c r="V326" s="12"/>
      <c r="W326" s="12"/>
      <c r="X326" s="12"/>
      <c r="Y326" s="12"/>
      <c r="Z326" s="12"/>
      <c r="AA326" s="12"/>
      <c r="AB326" s="12"/>
      <c r="AC326" s="12"/>
      <c r="AD326" s="12"/>
      <c r="AE326" s="12"/>
      <c r="AF326" s="12"/>
      <c r="AG326" s="12"/>
    </row>
    <row r="327" spans="1:33" ht="35.1" customHeight="1" thickBot="1">
      <c r="A327" s="16" t="s">
        <v>458</v>
      </c>
      <c r="B327" s="98"/>
      <c r="C327" s="18"/>
      <c r="D327" s="19"/>
      <c r="E327" s="19"/>
      <c r="F327" s="19"/>
      <c r="G327" s="19"/>
      <c r="H327" s="19"/>
      <c r="I327" s="97"/>
      <c r="J327" s="19"/>
      <c r="K327" s="19"/>
      <c r="L327" s="19">
        <v>1</v>
      </c>
      <c r="M327" s="12"/>
      <c r="N327" s="19">
        <f>N328+N329+N330+N331+N332+N333+N340++N341+N342+N343+N335+N334+N338+N339+N336+N337</f>
        <v>3719.2000000000003</v>
      </c>
      <c r="O327" s="19">
        <f t="shared" ref="O327:AG327" si="132">O328+O329+O330+O331+O332+O333+O340++O341+O342+O343+O335+O334+O338+O339+O336+O337</f>
        <v>0</v>
      </c>
      <c r="P327" s="19">
        <f t="shared" si="132"/>
        <v>3719.2000000000003</v>
      </c>
      <c r="Q327" s="19">
        <f t="shared" si="132"/>
        <v>0</v>
      </c>
      <c r="R327" s="19">
        <f t="shared" si="132"/>
        <v>0</v>
      </c>
      <c r="S327" s="19">
        <f t="shared" si="132"/>
        <v>3718.7000000000003</v>
      </c>
      <c r="T327" s="19">
        <f t="shared" si="132"/>
        <v>0</v>
      </c>
      <c r="U327" s="19">
        <f t="shared" si="132"/>
        <v>3718.7000000000003</v>
      </c>
      <c r="V327" s="19">
        <f t="shared" si="132"/>
        <v>0</v>
      </c>
      <c r="W327" s="19">
        <f t="shared" si="132"/>
        <v>0</v>
      </c>
      <c r="X327" s="19">
        <f t="shared" si="132"/>
        <v>3718.7000000000003</v>
      </c>
      <c r="Y327" s="19">
        <f t="shared" si="132"/>
        <v>0</v>
      </c>
      <c r="Z327" s="19">
        <f t="shared" si="132"/>
        <v>3718.7000000000003</v>
      </c>
      <c r="AA327" s="19">
        <f t="shared" si="132"/>
        <v>0</v>
      </c>
      <c r="AB327" s="19">
        <f t="shared" si="132"/>
        <v>0</v>
      </c>
      <c r="AC327" s="19">
        <f t="shared" si="132"/>
        <v>3718.7000000000003</v>
      </c>
      <c r="AD327" s="19">
        <f t="shared" si="132"/>
        <v>0</v>
      </c>
      <c r="AE327" s="19">
        <f t="shared" si="132"/>
        <v>3718.7000000000003</v>
      </c>
      <c r="AF327" s="19">
        <f t="shared" si="132"/>
        <v>0</v>
      </c>
      <c r="AG327" s="19">
        <f t="shared" si="132"/>
        <v>0</v>
      </c>
    </row>
    <row r="328" spans="1:33" ht="35.1" customHeight="1" thickBot="1">
      <c r="A328" s="13"/>
      <c r="B328" s="47"/>
      <c r="C328" s="22" t="s">
        <v>412</v>
      </c>
      <c r="D328" s="22" t="s">
        <v>459</v>
      </c>
      <c r="E328" s="22" t="s">
        <v>414</v>
      </c>
      <c r="F328" s="22" t="s">
        <v>460</v>
      </c>
      <c r="G328" s="22" t="s">
        <v>27</v>
      </c>
      <c r="H328" s="22" t="s">
        <v>461</v>
      </c>
      <c r="I328" s="39" t="s">
        <v>462</v>
      </c>
      <c r="J328" s="12" t="s">
        <v>71</v>
      </c>
      <c r="K328" s="23" t="s">
        <v>795</v>
      </c>
      <c r="L328" s="12"/>
      <c r="M328" s="23" t="s">
        <v>463</v>
      </c>
      <c r="N328" s="12">
        <f>O328+P328+Q328+R328</f>
        <v>21</v>
      </c>
      <c r="O328" s="12"/>
      <c r="P328" s="12">
        <v>21</v>
      </c>
      <c r="Q328" s="12"/>
      <c r="R328" s="12"/>
      <c r="S328" s="12">
        <f>T328+U328+V328+W328</f>
        <v>21</v>
      </c>
      <c r="T328" s="12"/>
      <c r="U328" s="12">
        <v>21</v>
      </c>
      <c r="V328" s="12"/>
      <c r="W328" s="12"/>
      <c r="X328" s="12">
        <f>Y328+Z328+AA328+AB328</f>
        <v>21</v>
      </c>
      <c r="Y328" s="12"/>
      <c r="Z328" s="12">
        <v>21</v>
      </c>
      <c r="AA328" s="12"/>
      <c r="AB328" s="12"/>
      <c r="AC328" s="12">
        <f>AD328+AE328+AF328+AG328</f>
        <v>21</v>
      </c>
      <c r="AD328" s="12"/>
      <c r="AE328" s="12">
        <v>21</v>
      </c>
      <c r="AF328" s="12"/>
      <c r="AG328" s="12"/>
    </row>
    <row r="329" spans="1:33" ht="35.1" customHeight="1" thickBot="1">
      <c r="A329" s="13"/>
      <c r="B329" s="47"/>
      <c r="C329" s="11"/>
      <c r="D329" s="12"/>
      <c r="E329" s="12"/>
      <c r="F329" s="23"/>
      <c r="G329" s="12"/>
      <c r="H329" s="12"/>
      <c r="I329" s="118"/>
      <c r="J329" s="12"/>
      <c r="K329" s="12"/>
      <c r="L329" s="12"/>
      <c r="M329" s="23" t="s">
        <v>464</v>
      </c>
      <c r="N329" s="12">
        <f t="shared" ref="N329:N334" si="133">O329+P329+Q329+R329</f>
        <v>2.7</v>
      </c>
      <c r="O329" s="12"/>
      <c r="P329" s="12">
        <v>2.7</v>
      </c>
      <c r="Q329" s="12"/>
      <c r="R329" s="12"/>
      <c r="S329" s="12">
        <f t="shared" ref="S329:S334" si="134">T329+U329+V329+W329</f>
        <v>2.7</v>
      </c>
      <c r="T329" s="12"/>
      <c r="U329" s="12">
        <v>2.7</v>
      </c>
      <c r="V329" s="12"/>
      <c r="W329" s="12"/>
      <c r="X329" s="12">
        <f t="shared" ref="X329:X343" si="135">Y329+Z329+AA329+AB329</f>
        <v>2.7</v>
      </c>
      <c r="Y329" s="12"/>
      <c r="Z329" s="12">
        <v>2.7</v>
      </c>
      <c r="AA329" s="12"/>
      <c r="AB329" s="12"/>
      <c r="AC329" s="12">
        <f t="shared" ref="AC329:AC334" si="136">AD329+AE329+AF329+AG329</f>
        <v>2.7</v>
      </c>
      <c r="AD329" s="12"/>
      <c r="AE329" s="12">
        <v>2.7</v>
      </c>
      <c r="AF329" s="12"/>
      <c r="AG329" s="12"/>
    </row>
    <row r="330" spans="1:33" ht="35.1" customHeight="1" thickBot="1">
      <c r="A330" s="13"/>
      <c r="B330" s="47"/>
      <c r="C330" s="22" t="s">
        <v>412</v>
      </c>
      <c r="D330" s="22" t="s">
        <v>465</v>
      </c>
      <c r="E330" s="22" t="s">
        <v>414</v>
      </c>
      <c r="F330" s="22" t="s">
        <v>466</v>
      </c>
      <c r="G330" s="22" t="s">
        <v>27</v>
      </c>
      <c r="H330" s="22" t="s">
        <v>467</v>
      </c>
      <c r="I330" s="116" t="s">
        <v>468</v>
      </c>
      <c r="J330" s="12" t="s">
        <v>71</v>
      </c>
      <c r="K330" s="23" t="s">
        <v>796</v>
      </c>
      <c r="L330" s="12"/>
      <c r="M330" s="23" t="s">
        <v>469</v>
      </c>
      <c r="N330" s="12">
        <f t="shared" si="133"/>
        <v>309.2</v>
      </c>
      <c r="O330" s="12"/>
      <c r="P330" s="12">
        <v>309.2</v>
      </c>
      <c r="Q330" s="12"/>
      <c r="R330" s="12"/>
      <c r="S330" s="12">
        <f t="shared" si="134"/>
        <v>309.2</v>
      </c>
      <c r="T330" s="12"/>
      <c r="U330" s="12">
        <v>309.2</v>
      </c>
      <c r="V330" s="12"/>
      <c r="W330" s="12"/>
      <c r="X330" s="12">
        <f t="shared" si="135"/>
        <v>309.2</v>
      </c>
      <c r="Y330" s="12"/>
      <c r="Z330" s="12">
        <v>309.2</v>
      </c>
      <c r="AA330" s="12"/>
      <c r="AB330" s="12"/>
      <c r="AC330" s="12">
        <f t="shared" si="136"/>
        <v>309.2</v>
      </c>
      <c r="AD330" s="12"/>
      <c r="AE330" s="12">
        <v>309.2</v>
      </c>
      <c r="AF330" s="12"/>
      <c r="AG330" s="12"/>
    </row>
    <row r="331" spans="1:33" ht="35.1" customHeight="1" thickBot="1">
      <c r="A331" s="13"/>
      <c r="B331" s="47"/>
      <c r="C331" s="11"/>
      <c r="D331" s="12"/>
      <c r="E331" s="12"/>
      <c r="F331" s="22" t="s">
        <v>470</v>
      </c>
      <c r="G331" s="22" t="s">
        <v>27</v>
      </c>
      <c r="H331" s="22" t="s">
        <v>471</v>
      </c>
      <c r="I331" s="116"/>
      <c r="J331" s="12"/>
      <c r="K331" s="12"/>
      <c r="L331" s="12"/>
      <c r="M331" s="23" t="s">
        <v>472</v>
      </c>
      <c r="N331" s="12">
        <f t="shared" si="133"/>
        <v>53.3</v>
      </c>
      <c r="O331" s="12"/>
      <c r="P331" s="12">
        <v>53.3</v>
      </c>
      <c r="Q331" s="12"/>
      <c r="R331" s="12"/>
      <c r="S331" s="12">
        <f t="shared" si="134"/>
        <v>53.3</v>
      </c>
      <c r="T331" s="12"/>
      <c r="U331" s="12">
        <v>53.3</v>
      </c>
      <c r="V331" s="12"/>
      <c r="W331" s="12"/>
      <c r="X331" s="12">
        <f t="shared" si="135"/>
        <v>53.3</v>
      </c>
      <c r="Y331" s="12"/>
      <c r="Z331" s="12">
        <v>53.3</v>
      </c>
      <c r="AA331" s="12"/>
      <c r="AB331" s="12"/>
      <c r="AC331" s="12">
        <f t="shared" si="136"/>
        <v>53.3</v>
      </c>
      <c r="AD331" s="12"/>
      <c r="AE331" s="12">
        <v>53.3</v>
      </c>
      <c r="AF331" s="12"/>
      <c r="AG331" s="12"/>
    </row>
    <row r="332" spans="1:33" ht="35.1" customHeight="1" thickBot="1">
      <c r="A332" s="13"/>
      <c r="B332" s="47"/>
      <c r="C332" s="22" t="s">
        <v>412</v>
      </c>
      <c r="D332" s="22" t="s">
        <v>473</v>
      </c>
      <c r="E332" s="22" t="s">
        <v>414</v>
      </c>
      <c r="F332" s="22" t="s">
        <v>474</v>
      </c>
      <c r="G332" s="22" t="s">
        <v>27</v>
      </c>
      <c r="H332" s="22" t="s">
        <v>475</v>
      </c>
      <c r="I332" s="39" t="s">
        <v>476</v>
      </c>
      <c r="J332" s="12" t="s">
        <v>797</v>
      </c>
      <c r="K332" s="23" t="s">
        <v>798</v>
      </c>
      <c r="L332" s="12"/>
      <c r="M332" s="49" t="s">
        <v>477</v>
      </c>
      <c r="N332" s="12">
        <f t="shared" si="133"/>
        <v>618.29999999999995</v>
      </c>
      <c r="O332" s="12"/>
      <c r="P332" s="12">
        <v>618.29999999999995</v>
      </c>
      <c r="Q332" s="12"/>
      <c r="R332" s="12"/>
      <c r="S332" s="12">
        <f t="shared" si="134"/>
        <v>618.29999999999995</v>
      </c>
      <c r="T332" s="12"/>
      <c r="U332" s="12">
        <v>618.29999999999995</v>
      </c>
      <c r="V332" s="12"/>
      <c r="W332" s="12"/>
      <c r="X332" s="12">
        <f t="shared" si="135"/>
        <v>618.29999999999995</v>
      </c>
      <c r="Y332" s="12"/>
      <c r="Z332" s="12">
        <v>618.29999999999995</v>
      </c>
      <c r="AA332" s="12"/>
      <c r="AB332" s="12"/>
      <c r="AC332" s="12">
        <f t="shared" si="136"/>
        <v>618.29999999999995</v>
      </c>
      <c r="AD332" s="12"/>
      <c r="AE332" s="12">
        <v>618.29999999999995</v>
      </c>
      <c r="AF332" s="12"/>
      <c r="AG332" s="12"/>
    </row>
    <row r="333" spans="1:33" ht="35.1" customHeight="1" thickBot="1">
      <c r="A333" s="13"/>
      <c r="B333" s="47"/>
      <c r="C333" s="11"/>
      <c r="D333" s="12"/>
      <c r="E333" s="12"/>
      <c r="F333" s="22" t="s">
        <v>478</v>
      </c>
      <c r="G333" s="22" t="s">
        <v>27</v>
      </c>
      <c r="H333" s="22" t="s">
        <v>479</v>
      </c>
      <c r="I333" s="39"/>
      <c r="J333" s="12"/>
      <c r="K333" s="23"/>
      <c r="L333" s="12"/>
      <c r="M333" s="49" t="s">
        <v>480</v>
      </c>
      <c r="N333" s="12">
        <f t="shared" si="133"/>
        <v>84.5</v>
      </c>
      <c r="O333" s="12"/>
      <c r="P333" s="12">
        <v>84.5</v>
      </c>
      <c r="Q333" s="12"/>
      <c r="R333" s="12"/>
      <c r="S333" s="12">
        <f t="shared" si="134"/>
        <v>84.5</v>
      </c>
      <c r="T333" s="12"/>
      <c r="U333" s="12">
        <v>84.5</v>
      </c>
      <c r="V333" s="12"/>
      <c r="W333" s="12"/>
      <c r="X333" s="12">
        <f t="shared" si="135"/>
        <v>84.5</v>
      </c>
      <c r="Y333" s="12"/>
      <c r="Z333" s="12">
        <v>84.5</v>
      </c>
      <c r="AA333" s="12"/>
      <c r="AB333" s="12"/>
      <c r="AC333" s="12">
        <f t="shared" si="136"/>
        <v>84.5</v>
      </c>
      <c r="AD333" s="12"/>
      <c r="AE333" s="12">
        <v>84.5</v>
      </c>
      <c r="AF333" s="12"/>
      <c r="AG333" s="12"/>
    </row>
    <row r="334" spans="1:33" ht="35.1" customHeight="1" thickBot="1">
      <c r="A334" s="13"/>
      <c r="B334" s="119"/>
      <c r="C334" s="22"/>
      <c r="D334" s="22"/>
      <c r="E334" s="22"/>
      <c r="F334" s="22" t="s">
        <v>481</v>
      </c>
      <c r="G334" s="22" t="s">
        <v>51</v>
      </c>
      <c r="H334" s="22" t="s">
        <v>482</v>
      </c>
      <c r="I334" s="23"/>
      <c r="J334" s="12"/>
      <c r="K334" s="23"/>
      <c r="L334" s="12"/>
      <c r="M334" s="49" t="s">
        <v>483</v>
      </c>
      <c r="N334" s="12">
        <f t="shared" si="133"/>
        <v>309.10000000000002</v>
      </c>
      <c r="O334" s="12"/>
      <c r="P334" s="12">
        <v>309.10000000000002</v>
      </c>
      <c r="Q334" s="12"/>
      <c r="R334" s="12"/>
      <c r="S334" s="12">
        <f t="shared" si="134"/>
        <v>309.10000000000002</v>
      </c>
      <c r="T334" s="12"/>
      <c r="U334" s="12">
        <v>309.10000000000002</v>
      </c>
      <c r="V334" s="12"/>
      <c r="W334" s="12"/>
      <c r="X334" s="12">
        <f t="shared" si="135"/>
        <v>309.10000000000002</v>
      </c>
      <c r="Y334" s="12"/>
      <c r="Z334" s="12">
        <v>309.10000000000002</v>
      </c>
      <c r="AA334" s="12"/>
      <c r="AB334" s="12"/>
      <c r="AC334" s="12">
        <f t="shared" si="136"/>
        <v>309.10000000000002</v>
      </c>
      <c r="AD334" s="12"/>
      <c r="AE334" s="12">
        <v>309.10000000000002</v>
      </c>
      <c r="AF334" s="12"/>
      <c r="AG334" s="12"/>
    </row>
    <row r="335" spans="1:33" ht="35.1" customHeight="1" thickBot="1">
      <c r="A335" s="13"/>
      <c r="B335" s="21"/>
      <c r="C335" s="25"/>
      <c r="D335" s="25"/>
      <c r="E335" s="25"/>
      <c r="F335" s="120"/>
      <c r="G335" s="25"/>
      <c r="H335" s="25"/>
      <c r="I335" s="25"/>
      <c r="J335" s="194"/>
      <c r="K335" s="25"/>
      <c r="L335" s="12"/>
      <c r="M335" s="49" t="s">
        <v>484</v>
      </c>
      <c r="N335" s="12">
        <f>P335</f>
        <v>81.8</v>
      </c>
      <c r="O335" s="12"/>
      <c r="P335" s="12">
        <v>81.8</v>
      </c>
      <c r="Q335" s="12"/>
      <c r="R335" s="12"/>
      <c r="S335" s="12">
        <f>U335</f>
        <v>81.8</v>
      </c>
      <c r="T335" s="12"/>
      <c r="U335" s="12">
        <v>81.8</v>
      </c>
      <c r="V335" s="12"/>
      <c r="W335" s="12"/>
      <c r="X335" s="12">
        <f>Z335</f>
        <v>81.8</v>
      </c>
      <c r="Y335" s="12"/>
      <c r="Z335" s="12">
        <v>81.8</v>
      </c>
      <c r="AA335" s="12"/>
      <c r="AB335" s="12"/>
      <c r="AC335" s="12">
        <f>AE335</f>
        <v>81.8</v>
      </c>
      <c r="AD335" s="12"/>
      <c r="AE335" s="12">
        <v>81.8</v>
      </c>
      <c r="AF335" s="12"/>
      <c r="AG335" s="12"/>
    </row>
    <row r="336" spans="1:33" ht="35.1" customHeight="1">
      <c r="A336" s="35"/>
      <c r="B336" s="53"/>
      <c r="C336" s="11"/>
      <c r="D336" s="12"/>
      <c r="E336" s="12"/>
      <c r="F336" s="23" t="s">
        <v>799</v>
      </c>
      <c r="G336" s="23" t="s">
        <v>71</v>
      </c>
      <c r="H336" s="23" t="s">
        <v>800</v>
      </c>
      <c r="I336" s="23"/>
      <c r="J336" s="12"/>
      <c r="K336" s="12"/>
      <c r="L336" s="12"/>
      <c r="M336" s="49" t="s">
        <v>485</v>
      </c>
      <c r="N336" s="12">
        <f>O336+P336+Q336+R336</f>
        <v>92.7</v>
      </c>
      <c r="O336" s="12"/>
      <c r="P336" s="12">
        <v>92.7</v>
      </c>
      <c r="Q336" s="12"/>
      <c r="R336" s="12"/>
      <c r="S336" s="12">
        <f>T336+U336+V336+W336</f>
        <v>92.7</v>
      </c>
      <c r="T336" s="12"/>
      <c r="U336" s="12">
        <v>92.7</v>
      </c>
      <c r="V336" s="12"/>
      <c r="W336" s="12"/>
      <c r="X336" s="12">
        <f>Y336+Z336+AA336+AB336</f>
        <v>92.7</v>
      </c>
      <c r="Y336" s="12"/>
      <c r="Z336" s="12">
        <v>92.7</v>
      </c>
      <c r="AA336" s="12"/>
      <c r="AB336" s="12"/>
      <c r="AC336" s="12">
        <f>AD336+AE336+AF336+AG336</f>
        <v>92.7</v>
      </c>
      <c r="AD336" s="12"/>
      <c r="AE336" s="12">
        <v>92.7</v>
      </c>
      <c r="AF336" s="12"/>
      <c r="AG336" s="12"/>
    </row>
    <row r="337" spans="1:33" ht="35.1" customHeight="1">
      <c r="A337" s="35"/>
      <c r="B337" s="53"/>
      <c r="C337" s="11"/>
      <c r="D337" s="12"/>
      <c r="E337" s="12"/>
      <c r="F337" s="23"/>
      <c r="G337" s="23"/>
      <c r="H337" s="23"/>
      <c r="I337" s="23"/>
      <c r="J337" s="12"/>
      <c r="K337" s="12"/>
      <c r="L337" s="12"/>
      <c r="M337" s="49" t="s">
        <v>486</v>
      </c>
      <c r="N337" s="12">
        <f>O337+P337+Q337+R337</f>
        <v>8.8000000000000007</v>
      </c>
      <c r="O337" s="12"/>
      <c r="P337" s="12">
        <v>8.8000000000000007</v>
      </c>
      <c r="Q337" s="12"/>
      <c r="R337" s="12"/>
      <c r="S337" s="12">
        <f>T337+U337+V337+W337</f>
        <v>8.3000000000000007</v>
      </c>
      <c r="T337" s="12"/>
      <c r="U337" s="12">
        <v>8.3000000000000007</v>
      </c>
      <c r="V337" s="12"/>
      <c r="W337" s="12"/>
      <c r="X337" s="12">
        <f>Y337+Z337+AA337+AB337</f>
        <v>8.3000000000000007</v>
      </c>
      <c r="Y337" s="12"/>
      <c r="Z337" s="12">
        <v>8.3000000000000007</v>
      </c>
      <c r="AA337" s="12"/>
      <c r="AB337" s="12"/>
      <c r="AC337" s="12">
        <f>AD337+AE337+AF337+AG337</f>
        <v>8.3000000000000007</v>
      </c>
      <c r="AD337" s="12"/>
      <c r="AE337" s="12">
        <v>8.3000000000000007</v>
      </c>
      <c r="AF337" s="12"/>
      <c r="AG337" s="12"/>
    </row>
    <row r="338" spans="1:33" ht="35.1" customHeight="1" thickBot="1">
      <c r="A338" s="13"/>
      <c r="B338" s="36"/>
      <c r="C338" s="25" t="s">
        <v>497</v>
      </c>
      <c r="D338" s="194" t="s">
        <v>111</v>
      </c>
      <c r="E338" s="194" t="s">
        <v>498</v>
      </c>
      <c r="F338" s="25" t="s">
        <v>642</v>
      </c>
      <c r="G338" s="60" t="s">
        <v>27</v>
      </c>
      <c r="H338" s="60" t="s">
        <v>633</v>
      </c>
      <c r="I338" s="25" t="s">
        <v>499</v>
      </c>
      <c r="J338" s="194" t="s">
        <v>111</v>
      </c>
      <c r="K338" s="25" t="s">
        <v>801</v>
      </c>
      <c r="L338" s="12"/>
      <c r="M338" s="49" t="s">
        <v>487</v>
      </c>
      <c r="N338" s="12">
        <f>P338</f>
        <v>29</v>
      </c>
      <c r="O338" s="12"/>
      <c r="P338" s="12">
        <v>29</v>
      </c>
      <c r="Q338" s="12"/>
      <c r="R338" s="12"/>
      <c r="S338" s="12">
        <f>U338</f>
        <v>29</v>
      </c>
      <c r="T338" s="12"/>
      <c r="U338" s="12">
        <v>29</v>
      </c>
      <c r="V338" s="12"/>
      <c r="W338" s="12"/>
      <c r="X338" s="12">
        <f>Z338</f>
        <v>29</v>
      </c>
      <c r="Y338" s="12"/>
      <c r="Z338" s="12">
        <v>29</v>
      </c>
      <c r="AA338" s="12"/>
      <c r="AB338" s="12"/>
      <c r="AC338" s="12">
        <f>AE338</f>
        <v>29</v>
      </c>
      <c r="AD338" s="12"/>
      <c r="AE338" s="12">
        <v>29</v>
      </c>
      <c r="AF338" s="12"/>
      <c r="AG338" s="12"/>
    </row>
    <row r="339" spans="1:33" ht="35.1" customHeight="1" thickBot="1">
      <c r="A339" s="13"/>
      <c r="B339" s="36"/>
      <c r="C339" s="25"/>
      <c r="D339" s="25"/>
      <c r="E339" s="25"/>
      <c r="F339" s="120"/>
      <c r="G339" s="25"/>
      <c r="H339" s="25"/>
      <c r="I339" s="25"/>
      <c r="J339" s="194"/>
      <c r="K339" s="25"/>
      <c r="L339" s="12"/>
      <c r="M339" s="49" t="s">
        <v>488</v>
      </c>
      <c r="N339" s="12">
        <f>P339</f>
        <v>43</v>
      </c>
      <c r="O339" s="12"/>
      <c r="P339" s="12">
        <v>43</v>
      </c>
      <c r="Q339" s="12"/>
      <c r="R339" s="12"/>
      <c r="S339" s="12">
        <f>U339</f>
        <v>43</v>
      </c>
      <c r="T339" s="12"/>
      <c r="U339" s="12">
        <v>43</v>
      </c>
      <c r="V339" s="12"/>
      <c r="W339" s="12"/>
      <c r="X339" s="12">
        <f>Z339</f>
        <v>43</v>
      </c>
      <c r="Y339" s="12"/>
      <c r="Z339" s="12">
        <v>43</v>
      </c>
      <c r="AA339" s="12"/>
      <c r="AB339" s="12"/>
      <c r="AC339" s="12">
        <f>AE339</f>
        <v>43</v>
      </c>
      <c r="AD339" s="12"/>
      <c r="AE339" s="12">
        <v>43</v>
      </c>
      <c r="AF339" s="12"/>
      <c r="AG339" s="12"/>
    </row>
    <row r="340" spans="1:33" ht="35.1" customHeight="1" thickBot="1">
      <c r="A340" s="13"/>
      <c r="B340" s="47"/>
      <c r="C340" s="39" t="s">
        <v>489</v>
      </c>
      <c r="D340" s="25" t="s">
        <v>490</v>
      </c>
      <c r="E340" s="25" t="s">
        <v>491</v>
      </c>
      <c r="F340" s="25" t="s">
        <v>492</v>
      </c>
      <c r="G340" s="25" t="s">
        <v>111</v>
      </c>
      <c r="H340" s="25" t="s">
        <v>493</v>
      </c>
      <c r="I340" s="183" t="s">
        <v>494</v>
      </c>
      <c r="J340" s="25" t="s">
        <v>111</v>
      </c>
      <c r="K340" s="26" t="s">
        <v>660</v>
      </c>
      <c r="L340" s="12"/>
      <c r="M340" s="49" t="s">
        <v>495</v>
      </c>
      <c r="N340" s="12">
        <f>O340+P340+Q340+R340</f>
        <v>57.6</v>
      </c>
      <c r="O340" s="12"/>
      <c r="P340" s="12">
        <v>57.6</v>
      </c>
      <c r="Q340" s="12"/>
      <c r="R340" s="12"/>
      <c r="S340" s="12">
        <f>T340+U340+V340+W340</f>
        <v>57.6</v>
      </c>
      <c r="T340" s="12"/>
      <c r="U340" s="12">
        <v>57.6</v>
      </c>
      <c r="V340" s="12"/>
      <c r="W340" s="12"/>
      <c r="X340" s="12">
        <f t="shared" si="135"/>
        <v>57.6</v>
      </c>
      <c r="Y340" s="12"/>
      <c r="Z340" s="12">
        <v>57.6</v>
      </c>
      <c r="AA340" s="12"/>
      <c r="AB340" s="12"/>
      <c r="AC340" s="12">
        <f>AD340+AE340+AF340+AG340</f>
        <v>57.6</v>
      </c>
      <c r="AD340" s="12"/>
      <c r="AE340" s="12">
        <v>57.6</v>
      </c>
      <c r="AF340" s="12"/>
      <c r="AG340" s="12"/>
    </row>
    <row r="341" spans="1:33" ht="35.1" customHeight="1">
      <c r="A341" s="14"/>
      <c r="B341" s="121"/>
      <c r="C341" s="183"/>
      <c r="D341" s="145"/>
      <c r="E341" s="145"/>
      <c r="F341" s="25"/>
      <c r="G341" s="145"/>
      <c r="H341" s="145"/>
      <c r="I341" s="237"/>
      <c r="J341" s="145"/>
      <c r="K341" s="145"/>
      <c r="L341" s="30"/>
      <c r="M341" s="245" t="s">
        <v>496</v>
      </c>
      <c r="N341" s="30">
        <f>O341+P341+Q341+R341</f>
        <v>32.799999999999997</v>
      </c>
      <c r="O341" s="30"/>
      <c r="P341" s="30">
        <v>32.799999999999997</v>
      </c>
      <c r="Q341" s="30"/>
      <c r="R341" s="30"/>
      <c r="S341" s="30">
        <f>T341+U341+V341+W341</f>
        <v>32.799999999999997</v>
      </c>
      <c r="T341" s="30"/>
      <c r="U341" s="30">
        <v>32.799999999999997</v>
      </c>
      <c r="V341" s="30"/>
      <c r="W341" s="30"/>
      <c r="X341" s="30">
        <f t="shared" si="135"/>
        <v>32.799999999999997</v>
      </c>
      <c r="Y341" s="30"/>
      <c r="Z341" s="30">
        <v>32.799999999999997</v>
      </c>
      <c r="AA341" s="30"/>
      <c r="AB341" s="30"/>
      <c r="AC341" s="30">
        <f>AD341+AE341+AF341+AG341</f>
        <v>32.799999999999997</v>
      </c>
      <c r="AD341" s="30"/>
      <c r="AE341" s="30">
        <v>32.799999999999997</v>
      </c>
      <c r="AF341" s="30"/>
      <c r="AG341" s="30"/>
    </row>
    <row r="342" spans="1:33" ht="35.1" customHeight="1">
      <c r="A342" s="35"/>
      <c r="B342" s="15"/>
      <c r="C342" s="25" t="s">
        <v>497</v>
      </c>
      <c r="D342" s="194" t="s">
        <v>111</v>
      </c>
      <c r="E342" s="194" t="s">
        <v>498</v>
      </c>
      <c r="F342" s="25" t="s">
        <v>642</v>
      </c>
      <c r="G342" s="25" t="s">
        <v>71</v>
      </c>
      <c r="H342" s="25" t="s">
        <v>643</v>
      </c>
      <c r="I342" s="183" t="s">
        <v>494</v>
      </c>
      <c r="J342" s="145"/>
      <c r="K342" s="145"/>
      <c r="L342" s="12"/>
      <c r="M342" s="23" t="s">
        <v>500</v>
      </c>
      <c r="N342" s="12">
        <f>O342+P342+Q342+R342</f>
        <v>1236.5999999999999</v>
      </c>
      <c r="O342" s="12"/>
      <c r="P342" s="12">
        <v>1236.5999999999999</v>
      </c>
      <c r="Q342" s="12"/>
      <c r="R342" s="12"/>
      <c r="S342" s="12">
        <f>T342+U342+V342+W342</f>
        <v>1236.5999999999999</v>
      </c>
      <c r="T342" s="12"/>
      <c r="U342" s="12">
        <v>1236.5999999999999</v>
      </c>
      <c r="V342" s="12"/>
      <c r="W342" s="12"/>
      <c r="X342" s="12">
        <f t="shared" si="135"/>
        <v>1236.5999999999999</v>
      </c>
      <c r="Y342" s="12"/>
      <c r="Z342" s="12">
        <v>1236.5999999999999</v>
      </c>
      <c r="AA342" s="12"/>
      <c r="AB342" s="12"/>
      <c r="AC342" s="12">
        <f>AD342+AE342+AF342+AG342</f>
        <v>1236.5999999999999</v>
      </c>
      <c r="AD342" s="12"/>
      <c r="AE342" s="12">
        <v>1236.5999999999999</v>
      </c>
      <c r="AF342" s="12"/>
      <c r="AG342" s="12"/>
    </row>
    <row r="343" spans="1:33" ht="35.1" customHeight="1">
      <c r="A343" s="35"/>
      <c r="B343" s="15"/>
      <c r="C343" s="25"/>
      <c r="D343" s="194"/>
      <c r="E343" s="194"/>
      <c r="F343" s="25"/>
      <c r="G343" s="25"/>
      <c r="H343" s="25"/>
      <c r="I343" s="25" t="s">
        <v>499</v>
      </c>
      <c r="J343" s="194" t="s">
        <v>111</v>
      </c>
      <c r="K343" s="26" t="s">
        <v>693</v>
      </c>
      <c r="L343" s="12"/>
      <c r="M343" s="23" t="s">
        <v>501</v>
      </c>
      <c r="N343" s="12">
        <f>O343+P343+Q343+R343</f>
        <v>738.8</v>
      </c>
      <c r="O343" s="12"/>
      <c r="P343" s="12">
        <v>738.8</v>
      </c>
      <c r="Q343" s="12"/>
      <c r="R343" s="12"/>
      <c r="S343" s="12">
        <f>T343+U343+V343+W343</f>
        <v>738.8</v>
      </c>
      <c r="T343" s="12"/>
      <c r="U343" s="12">
        <v>738.8</v>
      </c>
      <c r="V343" s="12"/>
      <c r="W343" s="12"/>
      <c r="X343" s="12">
        <f t="shared" si="135"/>
        <v>738.8</v>
      </c>
      <c r="Y343" s="12"/>
      <c r="Z343" s="12">
        <v>738.8</v>
      </c>
      <c r="AA343" s="12"/>
      <c r="AB343" s="12"/>
      <c r="AC343" s="12">
        <f>AD343+AE343+AF343+AG343</f>
        <v>738.8</v>
      </c>
      <c r="AD343" s="12"/>
      <c r="AE343" s="12">
        <v>738.8</v>
      </c>
      <c r="AF343" s="12"/>
      <c r="AG343" s="12"/>
    </row>
    <row r="344" spans="1:33" ht="35.1" customHeight="1">
      <c r="A344" s="82" t="s">
        <v>502</v>
      </c>
      <c r="B344" s="91">
        <v>3202</v>
      </c>
      <c r="C344" s="41"/>
      <c r="D344" s="42"/>
      <c r="E344" s="42"/>
      <c r="F344" s="42"/>
      <c r="G344" s="42"/>
      <c r="H344" s="42"/>
      <c r="I344" s="42"/>
      <c r="J344" s="42"/>
      <c r="K344" s="42"/>
      <c r="L344" s="42">
        <v>1</v>
      </c>
      <c r="M344" s="23"/>
      <c r="N344" s="19">
        <f t="shared" ref="N344:AG344" si="137">N345+N346+N347+N352+N353+N348+N349+N351+N350</f>
        <v>8994.6</v>
      </c>
      <c r="O344" s="19">
        <f t="shared" si="137"/>
        <v>0</v>
      </c>
      <c r="P344" s="19">
        <f t="shared" si="137"/>
        <v>8994.6</v>
      </c>
      <c r="Q344" s="19">
        <f t="shared" si="137"/>
        <v>0</v>
      </c>
      <c r="R344" s="19">
        <f t="shared" si="137"/>
        <v>0</v>
      </c>
      <c r="S344" s="19">
        <f>S345+S346+S347+S352+S353+S348+S349+S351+S350</f>
        <v>8994.6</v>
      </c>
      <c r="T344" s="19">
        <f t="shared" si="137"/>
        <v>0</v>
      </c>
      <c r="U344" s="19">
        <f t="shared" si="137"/>
        <v>8994.6</v>
      </c>
      <c r="V344" s="19">
        <f t="shared" si="137"/>
        <v>0</v>
      </c>
      <c r="W344" s="19">
        <f t="shared" si="137"/>
        <v>0</v>
      </c>
      <c r="X344" s="19">
        <f t="shared" si="137"/>
        <v>8994.6</v>
      </c>
      <c r="Y344" s="19">
        <f t="shared" si="137"/>
        <v>0</v>
      </c>
      <c r="Z344" s="19">
        <f t="shared" si="137"/>
        <v>8994.6</v>
      </c>
      <c r="AA344" s="19">
        <f t="shared" si="137"/>
        <v>0</v>
      </c>
      <c r="AB344" s="19">
        <f t="shared" si="137"/>
        <v>0</v>
      </c>
      <c r="AC344" s="19">
        <f t="shared" si="137"/>
        <v>8994.6</v>
      </c>
      <c r="AD344" s="19">
        <f t="shared" si="137"/>
        <v>0</v>
      </c>
      <c r="AE344" s="19">
        <f t="shared" si="137"/>
        <v>8994.6</v>
      </c>
      <c r="AF344" s="19">
        <f t="shared" si="137"/>
        <v>0</v>
      </c>
      <c r="AG344" s="19">
        <f t="shared" si="137"/>
        <v>0</v>
      </c>
    </row>
    <row r="345" spans="1:33" ht="35.1" customHeight="1">
      <c r="A345" s="35"/>
      <c r="B345" s="78"/>
      <c r="C345" s="22" t="s">
        <v>412</v>
      </c>
      <c r="D345" s="22" t="s">
        <v>459</v>
      </c>
      <c r="E345" s="22" t="s">
        <v>414</v>
      </c>
      <c r="F345" s="22" t="s">
        <v>460</v>
      </c>
      <c r="G345" s="22" t="s">
        <v>27</v>
      </c>
      <c r="H345" s="22" t="s">
        <v>461</v>
      </c>
      <c r="I345" s="39" t="s">
        <v>462</v>
      </c>
      <c r="J345" s="12" t="s">
        <v>71</v>
      </c>
      <c r="K345" s="23" t="s">
        <v>795</v>
      </c>
      <c r="L345" s="12"/>
      <c r="M345" s="49" t="s">
        <v>503</v>
      </c>
      <c r="N345" s="12">
        <f>O345+P345+Q345+R345</f>
        <v>69.7</v>
      </c>
      <c r="O345" s="12"/>
      <c r="P345" s="12">
        <v>69.7</v>
      </c>
      <c r="Q345" s="12"/>
      <c r="R345" s="12"/>
      <c r="S345" s="12">
        <f>T345+U345+V345+W345</f>
        <v>69.7</v>
      </c>
      <c r="T345" s="12"/>
      <c r="U345" s="12">
        <v>69.7</v>
      </c>
      <c r="V345" s="12"/>
      <c r="W345" s="12"/>
      <c r="X345" s="12">
        <f>Y345+Z345+AA345+AB345</f>
        <v>69.7</v>
      </c>
      <c r="Y345" s="12"/>
      <c r="Z345" s="12">
        <v>69.7</v>
      </c>
      <c r="AA345" s="12"/>
      <c r="AB345" s="12"/>
      <c r="AC345" s="12">
        <f>AD345+AE345+AF345+AG345</f>
        <v>69.7</v>
      </c>
      <c r="AD345" s="12"/>
      <c r="AE345" s="12">
        <v>69.7</v>
      </c>
      <c r="AF345" s="12"/>
      <c r="AG345" s="12"/>
    </row>
    <row r="346" spans="1:33" ht="35.1" customHeight="1">
      <c r="A346" s="35"/>
      <c r="B346" s="78"/>
      <c r="C346" s="22" t="s">
        <v>412</v>
      </c>
      <c r="D346" s="22" t="s">
        <v>465</v>
      </c>
      <c r="E346" s="22" t="s">
        <v>414</v>
      </c>
      <c r="F346" s="22" t="s">
        <v>466</v>
      </c>
      <c r="G346" s="22" t="s">
        <v>27</v>
      </c>
      <c r="H346" s="22" t="s">
        <v>467</v>
      </c>
      <c r="I346" s="116" t="s">
        <v>468</v>
      </c>
      <c r="J346" s="12" t="s">
        <v>71</v>
      </c>
      <c r="K346" s="23" t="s">
        <v>796</v>
      </c>
      <c r="L346" s="12"/>
      <c r="M346" s="49" t="s">
        <v>504</v>
      </c>
      <c r="N346" s="12">
        <f>O346+P346+Q346+R346</f>
        <v>1023.6</v>
      </c>
      <c r="O346" s="12"/>
      <c r="P346" s="12">
        <v>1023.6</v>
      </c>
      <c r="Q346" s="12"/>
      <c r="R346" s="12"/>
      <c r="S346" s="12">
        <f>T346+U346+V346+W346</f>
        <v>1023.6</v>
      </c>
      <c r="T346" s="12"/>
      <c r="U346" s="12">
        <v>1023.6</v>
      </c>
      <c r="V346" s="12"/>
      <c r="W346" s="12"/>
      <c r="X346" s="12">
        <f t="shared" ref="X346:X353" si="138">Y346+Z346+AA346+AB346</f>
        <v>1023.6</v>
      </c>
      <c r="Y346" s="12"/>
      <c r="Z346" s="12">
        <v>1023.6</v>
      </c>
      <c r="AA346" s="12"/>
      <c r="AB346" s="12"/>
      <c r="AC346" s="12">
        <f>AD346+AE346+AF346+AG346</f>
        <v>1023.6</v>
      </c>
      <c r="AD346" s="12"/>
      <c r="AE346" s="12">
        <v>1023.6</v>
      </c>
      <c r="AF346" s="12"/>
      <c r="AG346" s="12"/>
    </row>
    <row r="347" spans="1:33" ht="35.1" customHeight="1">
      <c r="A347" s="35"/>
      <c r="B347" s="78"/>
      <c r="C347" s="22" t="s">
        <v>412</v>
      </c>
      <c r="D347" s="22" t="s">
        <v>473</v>
      </c>
      <c r="E347" s="22" t="s">
        <v>414</v>
      </c>
      <c r="F347" s="22" t="s">
        <v>474</v>
      </c>
      <c r="G347" s="22" t="s">
        <v>27</v>
      </c>
      <c r="H347" s="22" t="s">
        <v>475</v>
      </c>
      <c r="I347" s="39" t="s">
        <v>476</v>
      </c>
      <c r="J347" s="12" t="s">
        <v>71</v>
      </c>
      <c r="K347" s="23" t="s">
        <v>798</v>
      </c>
      <c r="L347" s="12"/>
      <c r="M347" s="49" t="s">
        <v>505</v>
      </c>
      <c r="N347" s="12">
        <f>O347+P347+Q347+R347</f>
        <v>2047.2</v>
      </c>
      <c r="O347" s="12"/>
      <c r="P347" s="12">
        <v>2047.2</v>
      </c>
      <c r="Q347" s="12"/>
      <c r="R347" s="12"/>
      <c r="S347" s="12">
        <f>T347+U347+V347+W347</f>
        <v>2047.2</v>
      </c>
      <c r="T347" s="12"/>
      <c r="U347" s="12">
        <v>2047.2</v>
      </c>
      <c r="V347" s="12"/>
      <c r="W347" s="12"/>
      <c r="X347" s="12">
        <f t="shared" si="138"/>
        <v>2047.2</v>
      </c>
      <c r="Y347" s="12"/>
      <c r="Z347" s="12">
        <v>2047.2</v>
      </c>
      <c r="AA347" s="12"/>
      <c r="AB347" s="12"/>
      <c r="AC347" s="12">
        <f>AD347+AE347+AF347+AG347</f>
        <v>2047.2</v>
      </c>
      <c r="AD347" s="12"/>
      <c r="AE347" s="12">
        <v>2047.2</v>
      </c>
      <c r="AF347" s="12"/>
      <c r="AG347" s="12"/>
    </row>
    <row r="348" spans="1:33" ht="35.1" customHeight="1" thickBot="1">
      <c r="A348" s="13"/>
      <c r="B348" s="21"/>
      <c r="C348" s="22"/>
      <c r="D348" s="22"/>
      <c r="E348" s="22"/>
      <c r="F348" s="22" t="s">
        <v>481</v>
      </c>
      <c r="G348" s="22" t="s">
        <v>51</v>
      </c>
      <c r="H348" s="22" t="s">
        <v>482</v>
      </c>
      <c r="I348" s="25"/>
      <c r="J348" s="194"/>
      <c r="K348" s="25"/>
      <c r="L348" s="12"/>
      <c r="M348" s="49" t="s">
        <v>506</v>
      </c>
      <c r="N348" s="12">
        <f>P348</f>
        <v>1023.7</v>
      </c>
      <c r="O348" s="12"/>
      <c r="P348" s="12">
        <v>1023.7</v>
      </c>
      <c r="Q348" s="12"/>
      <c r="R348" s="12"/>
      <c r="S348" s="12">
        <f>U348</f>
        <v>1023.7</v>
      </c>
      <c r="T348" s="12"/>
      <c r="U348" s="12">
        <v>1023.7</v>
      </c>
      <c r="V348" s="12"/>
      <c r="W348" s="12"/>
      <c r="X348" s="12">
        <f>Z348</f>
        <v>1023.7</v>
      </c>
      <c r="Y348" s="12"/>
      <c r="Z348" s="12">
        <v>1023.7</v>
      </c>
      <c r="AA348" s="12"/>
      <c r="AB348" s="12"/>
      <c r="AC348" s="12">
        <f>AE348</f>
        <v>1023.7</v>
      </c>
      <c r="AD348" s="12"/>
      <c r="AE348" s="12">
        <v>1023.7</v>
      </c>
      <c r="AF348" s="12"/>
      <c r="AG348" s="12"/>
    </row>
    <row r="349" spans="1:33" ht="35.1" customHeight="1" thickBot="1">
      <c r="A349" s="13"/>
      <c r="B349" s="36"/>
      <c r="C349" s="25" t="s">
        <v>497</v>
      </c>
      <c r="D349" s="194" t="s">
        <v>111</v>
      </c>
      <c r="E349" s="194" t="s">
        <v>498</v>
      </c>
      <c r="F349" s="25" t="s">
        <v>802</v>
      </c>
      <c r="G349" s="25" t="s">
        <v>803</v>
      </c>
      <c r="H349" s="25" t="s">
        <v>804</v>
      </c>
      <c r="I349" s="25"/>
      <c r="J349" s="194"/>
      <c r="K349" s="25"/>
      <c r="L349" s="12"/>
      <c r="M349" s="49" t="s">
        <v>507</v>
      </c>
      <c r="N349" s="12">
        <f>P349</f>
        <v>96</v>
      </c>
      <c r="O349" s="12"/>
      <c r="P349" s="12">
        <v>96</v>
      </c>
      <c r="Q349" s="12"/>
      <c r="R349" s="12"/>
      <c r="S349" s="12">
        <f>U349</f>
        <v>96</v>
      </c>
      <c r="T349" s="12"/>
      <c r="U349" s="12">
        <v>96</v>
      </c>
      <c r="V349" s="12"/>
      <c r="W349" s="12"/>
      <c r="X349" s="12">
        <f>Z349</f>
        <v>96</v>
      </c>
      <c r="Y349" s="12"/>
      <c r="Z349" s="12">
        <v>96</v>
      </c>
      <c r="AA349" s="12"/>
      <c r="AB349" s="12"/>
      <c r="AC349" s="12">
        <f>AE349</f>
        <v>96</v>
      </c>
      <c r="AD349" s="12"/>
      <c r="AE349" s="12">
        <v>96</v>
      </c>
      <c r="AF349" s="12"/>
      <c r="AG349" s="12"/>
    </row>
    <row r="350" spans="1:33" ht="35.1" customHeight="1">
      <c r="A350" s="35"/>
      <c r="B350" s="53"/>
      <c r="C350" s="11"/>
      <c r="D350" s="12"/>
      <c r="E350" s="12"/>
      <c r="F350" s="23" t="s">
        <v>799</v>
      </c>
      <c r="G350" s="23" t="s">
        <v>71</v>
      </c>
      <c r="H350" s="23" t="s">
        <v>800</v>
      </c>
      <c r="I350" s="23"/>
      <c r="J350" s="12"/>
      <c r="K350" s="12"/>
      <c r="L350" s="12"/>
      <c r="M350" s="49" t="s">
        <v>508</v>
      </c>
      <c r="N350" s="12">
        <f>O350+P350+Q350+R350</f>
        <v>307.10000000000002</v>
      </c>
      <c r="O350" s="12"/>
      <c r="P350" s="12">
        <v>307.10000000000002</v>
      </c>
      <c r="Q350" s="12"/>
      <c r="R350" s="12"/>
      <c r="S350" s="12">
        <f>T350+U350+V350+W350</f>
        <v>307.10000000000002</v>
      </c>
      <c r="T350" s="12"/>
      <c r="U350" s="12">
        <v>307.10000000000002</v>
      </c>
      <c r="V350" s="12"/>
      <c r="W350" s="12"/>
      <c r="X350" s="12">
        <f>Y350+Z350+AA350+AB350</f>
        <v>307.10000000000002</v>
      </c>
      <c r="Y350" s="12"/>
      <c r="Z350" s="12">
        <v>307.10000000000002</v>
      </c>
      <c r="AA350" s="12"/>
      <c r="AB350" s="12"/>
      <c r="AC350" s="12">
        <f>AD350+AE350+AF350+AG350</f>
        <v>307.10000000000002</v>
      </c>
      <c r="AD350" s="12"/>
      <c r="AE350" s="12">
        <v>307.10000000000002</v>
      </c>
      <c r="AF350" s="12"/>
      <c r="AG350" s="12"/>
    </row>
    <row r="351" spans="1:33" ht="35.1" customHeight="1">
      <c r="A351" s="74"/>
      <c r="B351" s="36"/>
      <c r="C351" s="25" t="s">
        <v>497</v>
      </c>
      <c r="D351" s="194" t="s">
        <v>111</v>
      </c>
      <c r="E351" s="194" t="s">
        <v>498</v>
      </c>
      <c r="F351" s="25" t="s">
        <v>642</v>
      </c>
      <c r="G351" s="60" t="s">
        <v>27</v>
      </c>
      <c r="H351" s="60" t="s">
        <v>633</v>
      </c>
      <c r="I351" s="25" t="s">
        <v>499</v>
      </c>
      <c r="J351" s="194" t="s">
        <v>111</v>
      </c>
      <c r="K351" s="25" t="s">
        <v>801</v>
      </c>
      <c r="L351" s="12"/>
      <c r="M351" s="49" t="s">
        <v>509</v>
      </c>
      <c r="N351" s="12">
        <f>O351+P351+Q351+R351</f>
        <v>142</v>
      </c>
      <c r="O351" s="12"/>
      <c r="P351" s="12">
        <v>142</v>
      </c>
      <c r="Q351" s="12"/>
      <c r="R351" s="12"/>
      <c r="S351" s="12">
        <f>T351+U351+V351+W351</f>
        <v>142</v>
      </c>
      <c r="T351" s="12"/>
      <c r="U351" s="12">
        <v>142</v>
      </c>
      <c r="V351" s="12"/>
      <c r="W351" s="12"/>
      <c r="X351" s="12">
        <f>Y351+Z351+AA351+AB351</f>
        <v>142</v>
      </c>
      <c r="Y351" s="12"/>
      <c r="Z351" s="12">
        <v>142</v>
      </c>
      <c r="AA351" s="12"/>
      <c r="AB351" s="12"/>
      <c r="AC351" s="12">
        <f>AD351+AE351+AF351+AG351</f>
        <v>142</v>
      </c>
      <c r="AD351" s="12"/>
      <c r="AE351" s="12">
        <v>142</v>
      </c>
      <c r="AF351" s="12"/>
      <c r="AG351" s="12"/>
    </row>
    <row r="352" spans="1:33" ht="35.1" customHeight="1">
      <c r="A352" s="35"/>
      <c r="B352" s="78"/>
      <c r="C352" s="39" t="s">
        <v>489</v>
      </c>
      <c r="D352" s="25" t="s">
        <v>490</v>
      </c>
      <c r="E352" s="25" t="s">
        <v>491</v>
      </c>
      <c r="F352" s="25" t="s">
        <v>492</v>
      </c>
      <c r="G352" s="25" t="s">
        <v>111</v>
      </c>
      <c r="H352" s="25" t="s">
        <v>493</v>
      </c>
      <c r="I352" s="39" t="s">
        <v>494</v>
      </c>
      <c r="J352" s="25" t="s">
        <v>111</v>
      </c>
      <c r="K352" s="26" t="s">
        <v>660</v>
      </c>
      <c r="L352" s="12"/>
      <c r="M352" s="49" t="s">
        <v>510</v>
      </c>
      <c r="N352" s="12">
        <f>P352</f>
        <v>190.8</v>
      </c>
      <c r="O352" s="12"/>
      <c r="P352" s="12">
        <v>190.8</v>
      </c>
      <c r="Q352" s="12"/>
      <c r="R352" s="12"/>
      <c r="S352" s="12">
        <f>U352</f>
        <v>190.8</v>
      </c>
      <c r="T352" s="12"/>
      <c r="U352" s="12">
        <v>190.8</v>
      </c>
      <c r="V352" s="12"/>
      <c r="W352" s="12"/>
      <c r="X352" s="12">
        <f t="shared" si="138"/>
        <v>190.8</v>
      </c>
      <c r="Y352" s="12"/>
      <c r="Z352" s="12">
        <v>190.8</v>
      </c>
      <c r="AA352" s="12"/>
      <c r="AB352" s="12"/>
      <c r="AC352" s="12">
        <f>AD352+AE352+AF352+AG352</f>
        <v>190.8</v>
      </c>
      <c r="AD352" s="12"/>
      <c r="AE352" s="12">
        <v>190.8</v>
      </c>
      <c r="AF352" s="12"/>
      <c r="AG352" s="12"/>
    </row>
    <row r="353" spans="1:33" ht="35.1" customHeight="1">
      <c r="A353" s="35"/>
      <c r="B353" s="78"/>
      <c r="C353" s="25" t="s">
        <v>497</v>
      </c>
      <c r="D353" s="194" t="s">
        <v>111</v>
      </c>
      <c r="E353" s="194" t="s">
        <v>498</v>
      </c>
      <c r="F353" s="25" t="s">
        <v>642</v>
      </c>
      <c r="G353" s="60" t="s">
        <v>27</v>
      </c>
      <c r="H353" s="60" t="s">
        <v>633</v>
      </c>
      <c r="I353" s="25" t="s">
        <v>499</v>
      </c>
      <c r="J353" s="194" t="s">
        <v>111</v>
      </c>
      <c r="K353" s="25" t="s">
        <v>801</v>
      </c>
      <c r="L353" s="12"/>
      <c r="M353" s="49" t="s">
        <v>511</v>
      </c>
      <c r="N353" s="12">
        <f>O353+P353+Q353+R353</f>
        <v>4094.5</v>
      </c>
      <c r="O353" s="12"/>
      <c r="P353" s="12">
        <v>4094.5</v>
      </c>
      <c r="Q353" s="12"/>
      <c r="R353" s="12"/>
      <c r="S353" s="12">
        <f>T353+U353+V353+W353</f>
        <v>4094.5</v>
      </c>
      <c r="T353" s="12"/>
      <c r="U353" s="12">
        <v>4094.5</v>
      </c>
      <c r="V353" s="12"/>
      <c r="W353" s="12"/>
      <c r="X353" s="12">
        <f t="shared" si="138"/>
        <v>4094.5</v>
      </c>
      <c r="Y353" s="12"/>
      <c r="Z353" s="12">
        <v>4094.5</v>
      </c>
      <c r="AA353" s="12"/>
      <c r="AB353" s="12"/>
      <c r="AC353" s="12">
        <f>AD353+AE353+AF353+AG353</f>
        <v>4094.5</v>
      </c>
      <c r="AD353" s="12"/>
      <c r="AE353" s="12">
        <v>4094.5</v>
      </c>
      <c r="AF353" s="12"/>
      <c r="AG353" s="12"/>
    </row>
    <row r="354" spans="1:33" ht="35.1" customHeight="1">
      <c r="A354" s="31" t="s">
        <v>512</v>
      </c>
      <c r="B354" s="73">
        <v>3228</v>
      </c>
      <c r="C354" s="18"/>
      <c r="D354" s="19"/>
      <c r="E354" s="19"/>
      <c r="F354" s="19"/>
      <c r="G354" s="19"/>
      <c r="H354" s="19"/>
      <c r="I354" s="19"/>
      <c r="J354" s="19"/>
      <c r="K354" s="19"/>
      <c r="L354" s="19">
        <v>10</v>
      </c>
      <c r="M354" s="49"/>
      <c r="N354" s="19">
        <f>N355+N356</f>
        <v>32458.7</v>
      </c>
      <c r="O354" s="19">
        <f t="shared" ref="O354:AG354" si="139">O355+O356</f>
        <v>5436.9</v>
      </c>
      <c r="P354" s="19">
        <f t="shared" si="139"/>
        <v>27021.8</v>
      </c>
      <c r="Q354" s="19">
        <f t="shared" si="139"/>
        <v>0</v>
      </c>
      <c r="R354" s="19">
        <f t="shared" si="139"/>
        <v>0</v>
      </c>
      <c r="S354" s="19">
        <f t="shared" si="139"/>
        <v>30913</v>
      </c>
      <c r="T354" s="19">
        <f t="shared" si="139"/>
        <v>4946.1000000000004</v>
      </c>
      <c r="U354" s="19">
        <f t="shared" si="139"/>
        <v>25966.9</v>
      </c>
      <c r="V354" s="19">
        <f t="shared" si="139"/>
        <v>0</v>
      </c>
      <c r="W354" s="19">
        <f t="shared" si="139"/>
        <v>0</v>
      </c>
      <c r="X354" s="19">
        <f t="shared" si="139"/>
        <v>29108.300000000003</v>
      </c>
      <c r="Y354" s="19">
        <f t="shared" si="139"/>
        <v>4439</v>
      </c>
      <c r="Z354" s="19">
        <f t="shared" si="139"/>
        <v>24669.3</v>
      </c>
      <c r="AA354" s="19">
        <f t="shared" si="139"/>
        <v>0</v>
      </c>
      <c r="AB354" s="19">
        <f t="shared" si="139"/>
        <v>0</v>
      </c>
      <c r="AC354" s="19">
        <f t="shared" si="139"/>
        <v>29108.300000000003</v>
      </c>
      <c r="AD354" s="19">
        <f t="shared" si="139"/>
        <v>4439</v>
      </c>
      <c r="AE354" s="19">
        <f t="shared" si="139"/>
        <v>24669.3</v>
      </c>
      <c r="AF354" s="19">
        <f t="shared" si="139"/>
        <v>0</v>
      </c>
      <c r="AG354" s="19">
        <f t="shared" si="139"/>
        <v>0</v>
      </c>
    </row>
    <row r="355" spans="1:33" ht="35.1" customHeight="1">
      <c r="A355" s="35"/>
      <c r="B355" s="53"/>
      <c r="C355" s="22" t="s">
        <v>412</v>
      </c>
      <c r="D355" s="22" t="s">
        <v>513</v>
      </c>
      <c r="E355" s="22" t="s">
        <v>414</v>
      </c>
      <c r="F355" s="22" t="s">
        <v>514</v>
      </c>
      <c r="G355" s="22" t="s">
        <v>27</v>
      </c>
      <c r="H355" s="22" t="s">
        <v>515</v>
      </c>
      <c r="I355" s="39" t="s">
        <v>516</v>
      </c>
      <c r="J355" s="39" t="s">
        <v>111</v>
      </c>
      <c r="K355" s="39" t="s">
        <v>800</v>
      </c>
      <c r="L355" s="12"/>
      <c r="M355" s="246" t="s">
        <v>517</v>
      </c>
      <c r="N355" s="12">
        <f>O355+P355+Q355+R355</f>
        <v>24344</v>
      </c>
      <c r="O355" s="12"/>
      <c r="P355" s="12">
        <v>24344</v>
      </c>
      <c r="Q355" s="12"/>
      <c r="R355" s="12"/>
      <c r="S355" s="12">
        <f>T355+U355+V355+W355</f>
        <v>23184.7</v>
      </c>
      <c r="T355" s="12"/>
      <c r="U355" s="12">
        <v>23184.7</v>
      </c>
      <c r="V355" s="12"/>
      <c r="W355" s="12"/>
      <c r="X355" s="12">
        <f>Y355+Z355+AA355+AB355</f>
        <v>21831.200000000001</v>
      </c>
      <c r="Y355" s="12"/>
      <c r="Z355" s="12">
        <v>21831.200000000001</v>
      </c>
      <c r="AA355" s="12"/>
      <c r="AB355" s="12"/>
      <c r="AC355" s="12">
        <f>AD355+AE355+AF355+AG355</f>
        <v>21831.200000000001</v>
      </c>
      <c r="AD355" s="12"/>
      <c r="AE355" s="12">
        <v>21831.200000000001</v>
      </c>
      <c r="AF355" s="12"/>
      <c r="AG355" s="12"/>
    </row>
    <row r="356" spans="1:33" ht="35.1" customHeight="1">
      <c r="A356" s="35"/>
      <c r="B356" s="36"/>
      <c r="C356" s="39" t="s">
        <v>518</v>
      </c>
      <c r="D356" s="12" t="s">
        <v>71</v>
      </c>
      <c r="E356" s="12" t="s">
        <v>805</v>
      </c>
      <c r="F356" s="22" t="s">
        <v>514</v>
      </c>
      <c r="G356" s="22" t="s">
        <v>27</v>
      </c>
      <c r="H356" s="22" t="s">
        <v>515</v>
      </c>
      <c r="I356" s="39" t="s">
        <v>821</v>
      </c>
      <c r="J356" s="39" t="s">
        <v>111</v>
      </c>
      <c r="K356" s="39" t="s">
        <v>822</v>
      </c>
      <c r="L356" s="122"/>
      <c r="M356" s="49" t="s">
        <v>522</v>
      </c>
      <c r="N356" s="12">
        <f>O356+P356+Q356+R356</f>
        <v>8114.7</v>
      </c>
      <c r="O356" s="30">
        <v>5436.9</v>
      </c>
      <c r="P356" s="30">
        <v>2677.8</v>
      </c>
      <c r="Q356" s="30"/>
      <c r="R356" s="30"/>
      <c r="S356" s="12">
        <f>T356+U356+V356+W356</f>
        <v>7728.3</v>
      </c>
      <c r="T356" s="30">
        <v>4946.1000000000004</v>
      </c>
      <c r="U356" s="30">
        <v>2782.2</v>
      </c>
      <c r="V356" s="30"/>
      <c r="W356" s="30"/>
      <c r="X356" s="12">
        <f>Y356+Z356+AA356+AB356</f>
        <v>7277.1</v>
      </c>
      <c r="Y356" s="30">
        <v>4439</v>
      </c>
      <c r="Z356" s="30">
        <v>2838.1</v>
      </c>
      <c r="AA356" s="30"/>
      <c r="AB356" s="30"/>
      <c r="AC356" s="12">
        <f>AD356+AE356+AF356+AG356</f>
        <v>7277.1</v>
      </c>
      <c r="AD356" s="30">
        <v>4439</v>
      </c>
      <c r="AE356" s="30">
        <v>2838.1</v>
      </c>
      <c r="AF356" s="30"/>
      <c r="AG356" s="30"/>
    </row>
    <row r="357" spans="1:33" ht="35.1" customHeight="1" thickBot="1">
      <c r="A357" s="16" t="s">
        <v>523</v>
      </c>
      <c r="B357" s="56">
        <v>3235</v>
      </c>
      <c r="C357" s="18"/>
      <c r="D357" s="19"/>
      <c r="E357" s="19"/>
      <c r="F357" s="19"/>
      <c r="G357" s="19"/>
      <c r="H357" s="19"/>
      <c r="J357" s="123"/>
      <c r="L357" s="19">
        <v>10</v>
      </c>
      <c r="M357" s="49"/>
      <c r="N357" s="34">
        <f t="shared" ref="N357:AG357" si="140">N358</f>
        <v>0</v>
      </c>
      <c r="O357" s="34">
        <f t="shared" si="140"/>
        <v>0</v>
      </c>
      <c r="P357" s="34">
        <f t="shared" si="140"/>
        <v>0</v>
      </c>
      <c r="Q357" s="34">
        <f t="shared" si="140"/>
        <v>0</v>
      </c>
      <c r="R357" s="34">
        <f t="shared" si="140"/>
        <v>0</v>
      </c>
      <c r="S357" s="34">
        <f t="shared" si="140"/>
        <v>0</v>
      </c>
      <c r="T357" s="34">
        <f t="shared" si="140"/>
        <v>0</v>
      </c>
      <c r="U357" s="34">
        <f t="shared" si="140"/>
        <v>0</v>
      </c>
      <c r="V357" s="34">
        <f t="shared" si="140"/>
        <v>0</v>
      </c>
      <c r="W357" s="34">
        <f t="shared" si="140"/>
        <v>0</v>
      </c>
      <c r="X357" s="34">
        <f t="shared" si="140"/>
        <v>0</v>
      </c>
      <c r="Y357" s="34">
        <f t="shared" si="140"/>
        <v>0</v>
      </c>
      <c r="Z357" s="34">
        <f t="shared" si="140"/>
        <v>0</v>
      </c>
      <c r="AA357" s="34">
        <f t="shared" si="140"/>
        <v>0</v>
      </c>
      <c r="AB357" s="34">
        <f t="shared" si="140"/>
        <v>0</v>
      </c>
      <c r="AC357" s="34">
        <f t="shared" si="140"/>
        <v>0</v>
      </c>
      <c r="AD357" s="34">
        <f t="shared" si="140"/>
        <v>0</v>
      </c>
      <c r="AE357" s="34">
        <f t="shared" si="140"/>
        <v>0</v>
      </c>
      <c r="AF357" s="34">
        <f t="shared" si="140"/>
        <v>0</v>
      </c>
      <c r="AG357" s="34">
        <f t="shared" si="140"/>
        <v>0</v>
      </c>
    </row>
    <row r="358" spans="1:33" ht="35.1" customHeight="1" thickBot="1">
      <c r="A358" s="13"/>
      <c r="B358" s="21"/>
      <c r="C358" s="39"/>
      <c r="D358" s="39"/>
      <c r="E358" s="39"/>
      <c r="F358" s="39"/>
      <c r="G358" s="39"/>
      <c r="H358" s="39"/>
      <c r="I358" s="12"/>
      <c r="J358" s="12"/>
      <c r="K358" s="12"/>
      <c r="L358" s="12"/>
      <c r="M358" s="97"/>
      <c r="N358" s="12">
        <f>O358+P358+Q358+R358</f>
        <v>0</v>
      </c>
      <c r="O358" s="12"/>
      <c r="P358" s="12">
        <v>0</v>
      </c>
      <c r="Q358" s="12"/>
      <c r="R358" s="12"/>
      <c r="S358" s="12">
        <f>T358+U358+V358+W358</f>
        <v>0</v>
      </c>
      <c r="T358" s="12"/>
      <c r="U358" s="12">
        <v>0</v>
      </c>
      <c r="V358" s="12"/>
      <c r="W358" s="12"/>
      <c r="X358" s="12">
        <f>Y358+Z358+AA358+AB358</f>
        <v>0</v>
      </c>
      <c r="Y358" s="12"/>
      <c r="Z358" s="12">
        <v>0</v>
      </c>
      <c r="AA358" s="12"/>
      <c r="AB358" s="12"/>
      <c r="AC358" s="12">
        <f>AD358+AE358+AF358+AG358</f>
        <v>0</v>
      </c>
      <c r="AD358" s="12"/>
      <c r="AE358" s="12">
        <v>0</v>
      </c>
      <c r="AF358" s="12"/>
      <c r="AG358" s="12"/>
    </row>
    <row r="359" spans="1:33" ht="35.1" customHeight="1" thickBot="1">
      <c r="A359" s="16" t="s">
        <v>524</v>
      </c>
      <c r="B359" s="56">
        <v>3236</v>
      </c>
      <c r="C359" s="18"/>
      <c r="D359" s="19"/>
      <c r="E359" s="19"/>
      <c r="F359" s="19"/>
      <c r="G359" s="19"/>
      <c r="H359" s="19"/>
      <c r="I359" s="19"/>
      <c r="J359" s="19"/>
      <c r="K359" s="19"/>
      <c r="L359" s="19">
        <v>10</v>
      </c>
      <c r="M359" s="49"/>
      <c r="N359" s="19">
        <f t="shared" ref="N359:AG359" si="141">N360+N361+N362</f>
        <v>5185.7000000000007</v>
      </c>
      <c r="O359" s="19">
        <f t="shared" si="141"/>
        <v>0</v>
      </c>
      <c r="P359" s="19">
        <f t="shared" si="141"/>
        <v>5185.7000000000007</v>
      </c>
      <c r="Q359" s="19">
        <f t="shared" si="141"/>
        <v>0</v>
      </c>
      <c r="R359" s="19">
        <f t="shared" si="141"/>
        <v>0</v>
      </c>
      <c r="S359" s="19">
        <f t="shared" si="141"/>
        <v>5185.7000000000007</v>
      </c>
      <c r="T359" s="19">
        <f t="shared" si="141"/>
        <v>0</v>
      </c>
      <c r="U359" s="19">
        <f t="shared" si="141"/>
        <v>5185.7000000000007</v>
      </c>
      <c r="V359" s="19">
        <f t="shared" si="141"/>
        <v>0</v>
      </c>
      <c r="W359" s="19">
        <f t="shared" si="141"/>
        <v>0</v>
      </c>
      <c r="X359" s="19">
        <f t="shared" si="141"/>
        <v>5185.7000000000007</v>
      </c>
      <c r="Y359" s="19">
        <f t="shared" si="141"/>
        <v>0</v>
      </c>
      <c r="Z359" s="19">
        <f t="shared" si="141"/>
        <v>5185.7000000000007</v>
      </c>
      <c r="AA359" s="19">
        <f t="shared" si="141"/>
        <v>0</v>
      </c>
      <c r="AB359" s="19">
        <f t="shared" si="141"/>
        <v>0</v>
      </c>
      <c r="AC359" s="19">
        <f t="shared" si="141"/>
        <v>5185.7000000000007</v>
      </c>
      <c r="AD359" s="19">
        <f t="shared" si="141"/>
        <v>0</v>
      </c>
      <c r="AE359" s="19">
        <f t="shared" si="141"/>
        <v>5185.7000000000007</v>
      </c>
      <c r="AF359" s="19">
        <f t="shared" si="141"/>
        <v>0</v>
      </c>
      <c r="AG359" s="19">
        <f t="shared" si="141"/>
        <v>0</v>
      </c>
    </row>
    <row r="360" spans="1:33" ht="35.1" customHeight="1" thickBot="1">
      <c r="A360" s="13"/>
      <c r="B360" s="21"/>
      <c r="C360" s="22" t="s">
        <v>412</v>
      </c>
      <c r="D360" s="22" t="s">
        <v>525</v>
      </c>
      <c r="E360" s="22" t="s">
        <v>414</v>
      </c>
      <c r="F360" s="25" t="s">
        <v>526</v>
      </c>
      <c r="G360" s="25" t="s">
        <v>236</v>
      </c>
      <c r="H360" s="25" t="s">
        <v>527</v>
      </c>
      <c r="I360" s="39" t="s">
        <v>528</v>
      </c>
      <c r="J360" s="194" t="s">
        <v>111</v>
      </c>
      <c r="K360" s="23" t="s">
        <v>694</v>
      </c>
      <c r="L360" s="12"/>
      <c r="M360" s="49" t="s">
        <v>529</v>
      </c>
      <c r="N360" s="12">
        <f>O360+P360+Q360+R360</f>
        <v>1006.6</v>
      </c>
      <c r="O360" s="12"/>
      <c r="P360" s="12">
        <v>1006.6</v>
      </c>
      <c r="Q360" s="12"/>
      <c r="R360" s="12"/>
      <c r="S360" s="12">
        <f>T360+U360+V360+W360</f>
        <v>1006.6</v>
      </c>
      <c r="T360" s="12"/>
      <c r="U360" s="12">
        <v>1006.6</v>
      </c>
      <c r="V360" s="12"/>
      <c r="W360" s="12"/>
      <c r="X360" s="12">
        <f>Y360+Z360+AA360+AB360</f>
        <v>1006.6</v>
      </c>
      <c r="Y360" s="12"/>
      <c r="Z360" s="12">
        <v>1006.6</v>
      </c>
      <c r="AA360" s="12"/>
      <c r="AB360" s="12"/>
      <c r="AC360" s="12">
        <f>AD360+AE360+AF360+AG360</f>
        <v>1006.6</v>
      </c>
      <c r="AD360" s="12"/>
      <c r="AE360" s="12">
        <v>1006.6</v>
      </c>
      <c r="AF360" s="12"/>
      <c r="AG360" s="12"/>
    </row>
    <row r="361" spans="1:33" ht="35.1" customHeight="1" thickBot="1">
      <c r="A361" s="13"/>
      <c r="B361" s="21"/>
      <c r="C361" s="25" t="s">
        <v>127</v>
      </c>
      <c r="D361" s="25" t="s">
        <v>128</v>
      </c>
      <c r="E361" s="25" t="s">
        <v>129</v>
      </c>
      <c r="F361" s="25"/>
      <c r="G361" s="25"/>
      <c r="H361" s="25"/>
      <c r="I361" s="39"/>
      <c r="J361" s="194"/>
      <c r="K361" s="23"/>
      <c r="L361" s="12"/>
      <c r="M361" s="49" t="s">
        <v>530</v>
      </c>
      <c r="N361" s="12">
        <f>O361+P361+Q361+R361</f>
        <v>61</v>
      </c>
      <c r="O361" s="12"/>
      <c r="P361" s="12">
        <v>61</v>
      </c>
      <c r="Q361" s="12"/>
      <c r="R361" s="12"/>
      <c r="S361" s="12">
        <f>T361+U361+V361+W361</f>
        <v>61</v>
      </c>
      <c r="T361" s="12"/>
      <c r="U361" s="12">
        <v>61</v>
      </c>
      <c r="V361" s="12"/>
      <c r="W361" s="12"/>
      <c r="X361" s="12">
        <f>Y361+Z361+AA361+AB361</f>
        <v>61</v>
      </c>
      <c r="Y361" s="12"/>
      <c r="Z361" s="12">
        <v>61</v>
      </c>
      <c r="AA361" s="12"/>
      <c r="AB361" s="12"/>
      <c r="AC361" s="12">
        <f>AD361+AE361+AF361+AG361</f>
        <v>61</v>
      </c>
      <c r="AD361" s="12"/>
      <c r="AE361" s="12">
        <v>61</v>
      </c>
      <c r="AF361" s="12"/>
      <c r="AG361" s="12"/>
    </row>
    <row r="362" spans="1:33" ht="35.1" customHeight="1" thickBot="1">
      <c r="A362" s="13"/>
      <c r="B362" s="21"/>
      <c r="C362" s="25"/>
      <c r="D362" s="25"/>
      <c r="E362" s="25"/>
      <c r="F362" s="25"/>
      <c r="G362" s="25"/>
      <c r="H362" s="25"/>
      <c r="I362" s="39"/>
      <c r="J362" s="194"/>
      <c r="K362" s="23"/>
      <c r="L362" s="12"/>
      <c r="M362" s="49" t="s">
        <v>531</v>
      </c>
      <c r="N362" s="12">
        <f>O362+P362+Q362+R362</f>
        <v>4118.1000000000004</v>
      </c>
      <c r="O362" s="12"/>
      <c r="P362" s="12">
        <v>4118.1000000000004</v>
      </c>
      <c r="Q362" s="12"/>
      <c r="R362" s="12"/>
      <c r="S362" s="12">
        <f>T362+U362+V362+W362</f>
        <v>4118.1000000000004</v>
      </c>
      <c r="T362" s="12"/>
      <c r="U362" s="12">
        <v>4118.1000000000004</v>
      </c>
      <c r="V362" s="12"/>
      <c r="W362" s="12"/>
      <c r="X362" s="12">
        <f>Y362+Z362+AA362+AB362</f>
        <v>4118.1000000000004</v>
      </c>
      <c r="Y362" s="12"/>
      <c r="Z362" s="12">
        <v>4118.1000000000004</v>
      </c>
      <c r="AA362" s="12"/>
      <c r="AB362" s="12"/>
      <c r="AC362" s="12">
        <f>AD362+AE362+AF362+AG362</f>
        <v>4118.1000000000004</v>
      </c>
      <c r="AD362" s="12"/>
      <c r="AE362" s="12">
        <v>4118.1000000000004</v>
      </c>
      <c r="AF362" s="12"/>
      <c r="AG362" s="12"/>
    </row>
    <row r="363" spans="1:33" ht="35.1" customHeight="1" thickBot="1">
      <c r="A363" s="16" t="s">
        <v>532</v>
      </c>
      <c r="B363" s="56">
        <v>3237</v>
      </c>
      <c r="C363" s="18"/>
      <c r="D363" s="19"/>
      <c r="E363" s="19"/>
      <c r="F363" s="19"/>
      <c r="G363" s="19"/>
      <c r="H363" s="19"/>
      <c r="I363" s="19"/>
      <c r="J363" s="19"/>
      <c r="K363" s="19"/>
      <c r="L363" s="19">
        <v>10</v>
      </c>
      <c r="M363" s="49"/>
      <c r="N363" s="19">
        <f>N364+N365+N366</f>
        <v>4093</v>
      </c>
      <c r="O363" s="19">
        <f t="shared" ref="O363:AG363" si="142">O364+O365+O366</f>
        <v>0</v>
      </c>
      <c r="P363" s="19">
        <f t="shared" si="142"/>
        <v>4093</v>
      </c>
      <c r="Q363" s="19">
        <f t="shared" si="142"/>
        <v>0</v>
      </c>
      <c r="R363" s="19">
        <f t="shared" si="142"/>
        <v>0</v>
      </c>
      <c r="S363" s="19">
        <f t="shared" si="142"/>
        <v>4093</v>
      </c>
      <c r="T363" s="19">
        <f t="shared" si="142"/>
        <v>0</v>
      </c>
      <c r="U363" s="19">
        <f t="shared" si="142"/>
        <v>4093</v>
      </c>
      <c r="V363" s="19">
        <f t="shared" si="142"/>
        <v>0</v>
      </c>
      <c r="W363" s="19">
        <f t="shared" si="142"/>
        <v>0</v>
      </c>
      <c r="X363" s="19">
        <f t="shared" si="142"/>
        <v>4093</v>
      </c>
      <c r="Y363" s="19">
        <f t="shared" si="142"/>
        <v>0</v>
      </c>
      <c r="Z363" s="19">
        <f t="shared" si="142"/>
        <v>4093</v>
      </c>
      <c r="AA363" s="19">
        <f t="shared" si="142"/>
        <v>0</v>
      </c>
      <c r="AB363" s="19">
        <f t="shared" si="142"/>
        <v>0</v>
      </c>
      <c r="AC363" s="19">
        <f t="shared" si="142"/>
        <v>4093</v>
      </c>
      <c r="AD363" s="19">
        <f t="shared" si="142"/>
        <v>0</v>
      </c>
      <c r="AE363" s="19">
        <f t="shared" si="142"/>
        <v>4093</v>
      </c>
      <c r="AF363" s="19">
        <f t="shared" si="142"/>
        <v>0</v>
      </c>
      <c r="AG363" s="19">
        <f t="shared" si="142"/>
        <v>0</v>
      </c>
    </row>
    <row r="364" spans="1:33" ht="35.1" customHeight="1" thickBot="1">
      <c r="A364" s="13"/>
      <c r="B364" s="21"/>
      <c r="C364" s="25" t="s">
        <v>127</v>
      </c>
      <c r="D364" s="25" t="s">
        <v>128</v>
      </c>
      <c r="E364" s="25" t="s">
        <v>129</v>
      </c>
      <c r="F364" s="120" t="s">
        <v>677</v>
      </c>
      <c r="G364" s="25" t="s">
        <v>695</v>
      </c>
      <c r="H364" s="25" t="s">
        <v>696</v>
      </c>
      <c r="I364" s="39"/>
      <c r="J364" s="19"/>
      <c r="K364" s="19"/>
      <c r="L364" s="12"/>
      <c r="M364" s="49" t="s">
        <v>533</v>
      </c>
      <c r="N364" s="12">
        <f>O364+P364+Q364+R364</f>
        <v>3193.8</v>
      </c>
      <c r="O364" s="12"/>
      <c r="P364" s="12">
        <v>3193.8</v>
      </c>
      <c r="Q364" s="12"/>
      <c r="R364" s="12"/>
      <c r="S364" s="12">
        <f>T364+U364+V364+W364</f>
        <v>3193.8</v>
      </c>
      <c r="T364" s="12"/>
      <c r="U364" s="12">
        <v>3193.8</v>
      </c>
      <c r="V364" s="12"/>
      <c r="W364" s="12"/>
      <c r="X364" s="12">
        <f>Y364+Z364+AA364+AB364</f>
        <v>3193.8</v>
      </c>
      <c r="Y364" s="12"/>
      <c r="Z364" s="12">
        <v>3193.8</v>
      </c>
      <c r="AA364" s="12"/>
      <c r="AB364" s="12"/>
      <c r="AC364" s="12">
        <f>AD364+AE364+AF364+AG364</f>
        <v>3193.8</v>
      </c>
      <c r="AD364" s="12"/>
      <c r="AE364" s="12">
        <v>3193.8</v>
      </c>
      <c r="AF364" s="12"/>
      <c r="AG364" s="12"/>
    </row>
    <row r="365" spans="1:33" ht="35.1" customHeight="1" thickBot="1">
      <c r="A365" s="13"/>
      <c r="B365" s="21"/>
      <c r="C365" s="22" t="s">
        <v>412</v>
      </c>
      <c r="D365" s="22" t="s">
        <v>536</v>
      </c>
      <c r="E365" s="22" t="s">
        <v>414</v>
      </c>
      <c r="F365" s="25" t="s">
        <v>697</v>
      </c>
      <c r="G365" s="22" t="s">
        <v>537</v>
      </c>
      <c r="H365" s="26" t="s">
        <v>698</v>
      </c>
      <c r="I365" s="58" t="s">
        <v>131</v>
      </c>
      <c r="J365" s="194" t="s">
        <v>111</v>
      </c>
      <c r="K365" s="25" t="s">
        <v>682</v>
      </c>
      <c r="L365" s="12"/>
      <c r="M365" s="49" t="s">
        <v>535</v>
      </c>
      <c r="N365" s="12">
        <f>O365+P365+Q365+R365</f>
        <v>643.6</v>
      </c>
      <c r="O365" s="12"/>
      <c r="P365" s="12">
        <v>643.6</v>
      </c>
      <c r="Q365" s="12"/>
      <c r="R365" s="12"/>
      <c r="S365" s="12">
        <f>T365+U365+V365+W365</f>
        <v>643.6</v>
      </c>
      <c r="T365" s="12"/>
      <c r="U365" s="12">
        <v>643.6</v>
      </c>
      <c r="V365" s="12"/>
      <c r="W365" s="12"/>
      <c r="X365" s="12">
        <f>Y365+Z365+AA365+AB365</f>
        <v>643.6</v>
      </c>
      <c r="Y365" s="12"/>
      <c r="Z365" s="12">
        <v>643.6</v>
      </c>
      <c r="AA365" s="12"/>
      <c r="AB365" s="12"/>
      <c r="AC365" s="12">
        <f>AD365+AE365+AF365+AG365</f>
        <v>643.6</v>
      </c>
      <c r="AD365" s="12"/>
      <c r="AE365" s="12">
        <v>643.6</v>
      </c>
      <c r="AF365" s="12"/>
      <c r="AG365" s="12"/>
    </row>
    <row r="366" spans="1:33" ht="35.1" customHeight="1">
      <c r="A366" s="14"/>
      <c r="B366" s="36"/>
      <c r="C366" s="193"/>
      <c r="D366" s="193"/>
      <c r="E366" s="193"/>
      <c r="F366" s="193" t="s">
        <v>538</v>
      </c>
      <c r="G366" s="193" t="s">
        <v>27</v>
      </c>
      <c r="H366" s="193" t="s">
        <v>539</v>
      </c>
      <c r="I366" s="25" t="s">
        <v>534</v>
      </c>
      <c r="J366" s="194" t="s">
        <v>111</v>
      </c>
      <c r="K366" s="194" t="s">
        <v>699</v>
      </c>
      <c r="L366" s="12"/>
      <c r="M366" s="49" t="s">
        <v>540</v>
      </c>
      <c r="N366" s="12">
        <f>O366+P366+Q366+R366</f>
        <v>255.6</v>
      </c>
      <c r="O366" s="12"/>
      <c r="P366" s="12">
        <v>255.6</v>
      </c>
      <c r="Q366" s="12"/>
      <c r="R366" s="12"/>
      <c r="S366" s="12">
        <f>T366+U366+V366+W366</f>
        <v>255.6</v>
      </c>
      <c r="T366" s="12"/>
      <c r="U366" s="12">
        <v>255.6</v>
      </c>
      <c r="V366" s="12"/>
      <c r="W366" s="12"/>
      <c r="X366" s="12">
        <f>Y366+Z366+AA366+AB366</f>
        <v>255.6</v>
      </c>
      <c r="Y366" s="12"/>
      <c r="Z366" s="12">
        <v>255.6</v>
      </c>
      <c r="AA366" s="12"/>
      <c r="AB366" s="12"/>
      <c r="AC366" s="12">
        <f>AD366+AE366+AF366+AG366</f>
        <v>255.6</v>
      </c>
      <c r="AD366" s="12"/>
      <c r="AE366" s="12">
        <v>255.6</v>
      </c>
      <c r="AF366" s="12"/>
      <c r="AG366" s="12"/>
    </row>
    <row r="367" spans="1:33" ht="35.1" customHeight="1">
      <c r="A367" s="51" t="s">
        <v>541</v>
      </c>
      <c r="B367" s="38">
        <v>3241</v>
      </c>
      <c r="C367" s="18"/>
      <c r="D367" s="19"/>
      <c r="E367" s="19"/>
      <c r="F367" s="19"/>
      <c r="G367" s="19"/>
      <c r="H367" s="19"/>
      <c r="I367" s="19"/>
      <c r="J367" s="19"/>
      <c r="K367" s="19"/>
      <c r="L367" s="19">
        <v>6</v>
      </c>
      <c r="M367" s="49"/>
      <c r="N367" s="19">
        <f>N368+N369+N370+N371+N372</f>
        <v>14825.699999999999</v>
      </c>
      <c r="O367" s="19">
        <f t="shared" ref="O367:AG367" si="143">O368+O369+O370+O371+O372</f>
        <v>0</v>
      </c>
      <c r="P367" s="19">
        <f t="shared" si="143"/>
        <v>14825.699999999999</v>
      </c>
      <c r="Q367" s="19">
        <f t="shared" si="143"/>
        <v>0</v>
      </c>
      <c r="R367" s="19">
        <f t="shared" si="143"/>
        <v>0</v>
      </c>
      <c r="S367" s="19">
        <f t="shared" si="143"/>
        <v>14825.699999999999</v>
      </c>
      <c r="T367" s="19">
        <f t="shared" si="143"/>
        <v>0</v>
      </c>
      <c r="U367" s="19">
        <f t="shared" si="143"/>
        <v>14825.699999999999</v>
      </c>
      <c r="V367" s="19">
        <f t="shared" si="143"/>
        <v>0</v>
      </c>
      <c r="W367" s="19">
        <f t="shared" si="143"/>
        <v>0</v>
      </c>
      <c r="X367" s="19">
        <f t="shared" si="143"/>
        <v>14825.699999999999</v>
      </c>
      <c r="Y367" s="19">
        <f t="shared" si="143"/>
        <v>0</v>
      </c>
      <c r="Z367" s="19">
        <f t="shared" si="143"/>
        <v>14825.699999999999</v>
      </c>
      <c r="AA367" s="19">
        <f t="shared" si="143"/>
        <v>0</v>
      </c>
      <c r="AB367" s="19">
        <f t="shared" si="143"/>
        <v>0</v>
      </c>
      <c r="AC367" s="19">
        <f t="shared" si="143"/>
        <v>14825.699999999999</v>
      </c>
      <c r="AD367" s="19">
        <f t="shared" si="143"/>
        <v>0</v>
      </c>
      <c r="AE367" s="19">
        <f t="shared" si="143"/>
        <v>14825.699999999999</v>
      </c>
      <c r="AF367" s="19">
        <f t="shared" si="143"/>
        <v>0</v>
      </c>
      <c r="AG367" s="19">
        <f t="shared" si="143"/>
        <v>0</v>
      </c>
    </row>
    <row r="368" spans="1:33" ht="35.1" customHeight="1">
      <c r="A368" s="35"/>
      <c r="B368" s="24"/>
      <c r="C368" s="22" t="s">
        <v>412</v>
      </c>
      <c r="D368" s="22" t="s">
        <v>542</v>
      </c>
      <c r="E368" s="22" t="s">
        <v>414</v>
      </c>
      <c r="F368" s="39" t="s">
        <v>543</v>
      </c>
      <c r="G368" s="194" t="s">
        <v>111</v>
      </c>
      <c r="H368" s="23" t="s">
        <v>700</v>
      </c>
      <c r="I368" s="55"/>
      <c r="J368" s="194"/>
      <c r="K368" s="23"/>
      <c r="L368" s="12"/>
      <c r="M368" s="49" t="s">
        <v>544</v>
      </c>
      <c r="N368" s="12">
        <f t="shared" ref="N368:N372" si="144">O368+P368+Q368+R368</f>
        <v>290.7</v>
      </c>
      <c r="O368" s="12"/>
      <c r="P368" s="12">
        <v>290.7</v>
      </c>
      <c r="Q368" s="12"/>
      <c r="R368" s="12"/>
      <c r="S368" s="12">
        <f t="shared" ref="S368:S372" si="145">T368+U368+V368+W368</f>
        <v>290.7</v>
      </c>
      <c r="T368" s="12"/>
      <c r="U368" s="12">
        <v>290.7</v>
      </c>
      <c r="V368" s="12"/>
      <c r="W368" s="12"/>
      <c r="X368" s="12">
        <f t="shared" ref="X368:X372" si="146">Y368+Z368+AA368+AB368</f>
        <v>290.7</v>
      </c>
      <c r="Y368" s="12"/>
      <c r="Z368" s="12">
        <v>290.7</v>
      </c>
      <c r="AA368" s="12"/>
      <c r="AB368" s="12"/>
      <c r="AC368" s="12">
        <f t="shared" ref="AC368:AC372" si="147">AD368+AE368+AF368+AG368</f>
        <v>290.7</v>
      </c>
      <c r="AD368" s="12"/>
      <c r="AE368" s="12">
        <v>290.7</v>
      </c>
      <c r="AF368" s="12"/>
      <c r="AG368" s="12"/>
    </row>
    <row r="369" spans="1:33" ht="35.1" customHeight="1" thickBot="1">
      <c r="A369" s="13"/>
      <c r="B369" s="21"/>
      <c r="C369" s="191"/>
      <c r="D369" s="191"/>
      <c r="E369" s="191"/>
      <c r="F369" s="45"/>
      <c r="G369" s="191"/>
      <c r="H369" s="184"/>
      <c r="I369" s="55"/>
      <c r="J369" s="194"/>
      <c r="K369" s="23"/>
      <c r="L369" s="12"/>
      <c r="M369" s="49" t="s">
        <v>545</v>
      </c>
      <c r="N369" s="12">
        <f t="shared" si="144"/>
        <v>81.399999999999977</v>
      </c>
      <c r="O369" s="12"/>
      <c r="P369" s="12">
        <f>505.4-424</f>
        <v>81.399999999999977</v>
      </c>
      <c r="Q369" s="12"/>
      <c r="R369" s="12"/>
      <c r="S369" s="12">
        <f t="shared" si="145"/>
        <v>505.4</v>
      </c>
      <c r="T369" s="12"/>
      <c r="U369" s="12">
        <v>505.4</v>
      </c>
      <c r="V369" s="12"/>
      <c r="W369" s="12"/>
      <c r="X369" s="12">
        <f t="shared" si="146"/>
        <v>505.4</v>
      </c>
      <c r="Y369" s="12"/>
      <c r="Z369" s="12">
        <v>505.4</v>
      </c>
      <c r="AA369" s="12"/>
      <c r="AB369" s="12"/>
      <c r="AC369" s="12">
        <f t="shared" si="147"/>
        <v>505.4</v>
      </c>
      <c r="AD369" s="12"/>
      <c r="AE369" s="12">
        <v>505.4</v>
      </c>
      <c r="AF369" s="12"/>
      <c r="AG369" s="12"/>
    </row>
    <row r="370" spans="1:33" ht="35.1" customHeight="1" thickBot="1">
      <c r="A370" s="13"/>
      <c r="B370" s="21"/>
      <c r="C370" s="194"/>
      <c r="D370" s="194"/>
      <c r="E370" s="194"/>
      <c r="F370" s="39"/>
      <c r="G370" s="194"/>
      <c r="H370" s="23"/>
      <c r="I370" s="55"/>
      <c r="J370" s="194"/>
      <c r="K370" s="23"/>
      <c r="L370" s="12"/>
      <c r="M370" s="49" t="s">
        <v>546</v>
      </c>
      <c r="N370" s="12">
        <f t="shared" si="144"/>
        <v>10164.4</v>
      </c>
      <c r="O370" s="12"/>
      <c r="P370" s="12">
        <f>9764.4+400</f>
        <v>10164.4</v>
      </c>
      <c r="Q370" s="12"/>
      <c r="R370" s="12"/>
      <c r="S370" s="12">
        <f t="shared" si="145"/>
        <v>9764.4</v>
      </c>
      <c r="T370" s="12"/>
      <c r="U370" s="12">
        <v>9764.4</v>
      </c>
      <c r="V370" s="12"/>
      <c r="W370" s="12"/>
      <c r="X370" s="12">
        <f t="shared" si="146"/>
        <v>9764.4</v>
      </c>
      <c r="Y370" s="12"/>
      <c r="Z370" s="12">
        <v>9764.4</v>
      </c>
      <c r="AA370" s="12"/>
      <c r="AB370" s="12"/>
      <c r="AC370" s="12">
        <f t="shared" si="147"/>
        <v>9764.4</v>
      </c>
      <c r="AD370" s="12"/>
      <c r="AE370" s="12">
        <v>9764.4</v>
      </c>
      <c r="AF370" s="12"/>
      <c r="AG370" s="12"/>
    </row>
    <row r="371" spans="1:33" ht="35.1" customHeight="1" thickBot="1">
      <c r="A371" s="13"/>
      <c r="B371" s="21"/>
      <c r="C371" s="194"/>
      <c r="D371" s="194"/>
      <c r="E371" s="194"/>
      <c r="F371" s="39"/>
      <c r="G371" s="194"/>
      <c r="H371" s="23"/>
      <c r="I371" s="55"/>
      <c r="J371" s="194"/>
      <c r="K371" s="23"/>
      <c r="L371" s="12"/>
      <c r="M371" s="49" t="s">
        <v>547</v>
      </c>
      <c r="N371" s="12">
        <f t="shared" si="144"/>
        <v>3466.8</v>
      </c>
      <c r="O371" s="12"/>
      <c r="P371" s="12">
        <f>3448.8+18</f>
        <v>3466.8</v>
      </c>
      <c r="Q371" s="12"/>
      <c r="R371" s="12"/>
      <c r="S371" s="12">
        <f t="shared" si="145"/>
        <v>3448.8</v>
      </c>
      <c r="T371" s="12"/>
      <c r="U371" s="12">
        <v>3448.8</v>
      </c>
      <c r="V371" s="12"/>
      <c r="W371" s="12"/>
      <c r="X371" s="12">
        <f t="shared" si="146"/>
        <v>3448.8</v>
      </c>
      <c r="Y371" s="12"/>
      <c r="Z371" s="12">
        <v>3448.8</v>
      </c>
      <c r="AA371" s="12"/>
      <c r="AB371" s="12"/>
      <c r="AC371" s="12">
        <f t="shared" si="147"/>
        <v>3448.8</v>
      </c>
      <c r="AD371" s="12"/>
      <c r="AE371" s="12">
        <v>3448.8</v>
      </c>
      <c r="AF371" s="12"/>
      <c r="AG371" s="12"/>
    </row>
    <row r="372" spans="1:33" ht="35.1" customHeight="1" thickBot="1">
      <c r="A372" s="13"/>
      <c r="B372" s="21"/>
      <c r="C372" s="194"/>
      <c r="D372" s="194"/>
      <c r="E372" s="194"/>
      <c r="F372" s="39"/>
      <c r="G372" s="194"/>
      <c r="H372" s="23"/>
      <c r="I372" s="55"/>
      <c r="J372" s="194"/>
      <c r="K372" s="23"/>
      <c r="L372" s="12"/>
      <c r="M372" s="49" t="s">
        <v>548</v>
      </c>
      <c r="N372" s="12">
        <f t="shared" si="144"/>
        <v>822.4</v>
      </c>
      <c r="O372" s="12"/>
      <c r="P372" s="12">
        <f>816.4+6</f>
        <v>822.4</v>
      </c>
      <c r="Q372" s="12"/>
      <c r="R372" s="12"/>
      <c r="S372" s="12">
        <f t="shared" si="145"/>
        <v>816.4</v>
      </c>
      <c r="T372" s="12"/>
      <c r="U372" s="12">
        <v>816.4</v>
      </c>
      <c r="V372" s="12"/>
      <c r="W372" s="12"/>
      <c r="X372" s="12">
        <f t="shared" si="146"/>
        <v>816.4</v>
      </c>
      <c r="Y372" s="12"/>
      <c r="Z372" s="12">
        <v>816.4</v>
      </c>
      <c r="AA372" s="12"/>
      <c r="AB372" s="12"/>
      <c r="AC372" s="12">
        <f t="shared" si="147"/>
        <v>816.4</v>
      </c>
      <c r="AD372" s="12"/>
      <c r="AE372" s="12">
        <v>816.4</v>
      </c>
      <c r="AF372" s="12"/>
      <c r="AG372" s="12"/>
    </row>
    <row r="373" spans="1:33" ht="35.1" customHeight="1" thickBot="1">
      <c r="A373" s="16" t="s">
        <v>549</v>
      </c>
      <c r="B373" s="56">
        <v>3260</v>
      </c>
      <c r="C373" s="18"/>
      <c r="D373" s="19"/>
      <c r="E373" s="19"/>
      <c r="F373" s="19"/>
      <c r="G373" s="19"/>
      <c r="H373" s="19"/>
      <c r="I373" s="19"/>
      <c r="J373" s="19"/>
      <c r="K373" s="19"/>
      <c r="L373" s="19">
        <v>5</v>
      </c>
      <c r="M373" s="49"/>
      <c r="N373" s="19">
        <f t="shared" ref="N373:AG373" si="148">N375+N374</f>
        <v>155.1</v>
      </c>
      <c r="O373" s="19">
        <f t="shared" si="148"/>
        <v>0</v>
      </c>
      <c r="P373" s="19">
        <f t="shared" si="148"/>
        <v>155.1</v>
      </c>
      <c r="Q373" s="19">
        <f t="shared" si="148"/>
        <v>0</v>
      </c>
      <c r="R373" s="19">
        <f t="shared" si="148"/>
        <v>0</v>
      </c>
      <c r="S373" s="19">
        <f t="shared" si="148"/>
        <v>155.1</v>
      </c>
      <c r="T373" s="19">
        <f t="shared" si="148"/>
        <v>0</v>
      </c>
      <c r="U373" s="19">
        <f t="shared" si="148"/>
        <v>155.1</v>
      </c>
      <c r="V373" s="19">
        <f t="shared" si="148"/>
        <v>0</v>
      </c>
      <c r="W373" s="19">
        <f t="shared" si="148"/>
        <v>0</v>
      </c>
      <c r="X373" s="19">
        <f t="shared" si="148"/>
        <v>155.1</v>
      </c>
      <c r="Y373" s="19">
        <f t="shared" si="148"/>
        <v>0</v>
      </c>
      <c r="Z373" s="19">
        <f t="shared" si="148"/>
        <v>155.1</v>
      </c>
      <c r="AA373" s="19">
        <f t="shared" si="148"/>
        <v>0</v>
      </c>
      <c r="AB373" s="19">
        <f t="shared" si="148"/>
        <v>0</v>
      </c>
      <c r="AC373" s="19">
        <f t="shared" si="148"/>
        <v>155.1</v>
      </c>
      <c r="AD373" s="19">
        <f t="shared" si="148"/>
        <v>0</v>
      </c>
      <c r="AE373" s="19">
        <f t="shared" si="148"/>
        <v>155.1</v>
      </c>
      <c r="AF373" s="19">
        <f t="shared" si="148"/>
        <v>0</v>
      </c>
      <c r="AG373" s="19">
        <f t="shared" si="148"/>
        <v>0</v>
      </c>
    </row>
    <row r="374" spans="1:33" ht="35.1" customHeight="1" thickBot="1">
      <c r="A374" s="13"/>
      <c r="B374" s="21"/>
      <c r="C374" s="22" t="s">
        <v>412</v>
      </c>
      <c r="D374" s="22" t="s">
        <v>550</v>
      </c>
      <c r="E374" s="22" t="s">
        <v>414</v>
      </c>
      <c r="F374" s="193" t="s">
        <v>775</v>
      </c>
      <c r="G374" s="124" t="s">
        <v>71</v>
      </c>
      <c r="H374" s="193" t="s">
        <v>776</v>
      </c>
      <c r="I374" s="12"/>
      <c r="J374" s="12"/>
      <c r="K374" s="12"/>
      <c r="L374" s="12"/>
      <c r="M374" s="49" t="s">
        <v>551</v>
      </c>
      <c r="N374" s="12">
        <f>P374</f>
        <v>0</v>
      </c>
      <c r="O374" s="12"/>
      <c r="P374" s="12"/>
      <c r="Q374" s="12"/>
      <c r="R374" s="12"/>
      <c r="S374" s="12">
        <f>U374</f>
        <v>0</v>
      </c>
      <c r="T374" s="12"/>
      <c r="U374" s="12"/>
      <c r="V374" s="12"/>
      <c r="W374" s="12"/>
      <c r="X374" s="12">
        <f>Z374</f>
        <v>0</v>
      </c>
      <c r="Y374" s="12"/>
      <c r="Z374" s="12"/>
      <c r="AA374" s="12"/>
      <c r="AB374" s="12"/>
      <c r="AC374" s="12">
        <f>AE374</f>
        <v>0</v>
      </c>
      <c r="AD374" s="12"/>
      <c r="AE374" s="12"/>
      <c r="AF374" s="12"/>
      <c r="AG374" s="12"/>
    </row>
    <row r="375" spans="1:33" ht="35.1" customHeight="1" thickBot="1">
      <c r="A375" s="14"/>
      <c r="B375" s="21"/>
      <c r="C375" s="188"/>
      <c r="D375" s="148"/>
      <c r="E375" s="184"/>
      <c r="F375" s="25" t="s">
        <v>777</v>
      </c>
      <c r="G375" s="25" t="s">
        <v>71</v>
      </c>
      <c r="H375" s="25" t="s">
        <v>778</v>
      </c>
      <c r="I375" s="25" t="s">
        <v>779</v>
      </c>
      <c r="J375" s="25" t="s">
        <v>71</v>
      </c>
      <c r="K375" s="25" t="s">
        <v>780</v>
      </c>
      <c r="L375" s="25"/>
      <c r="M375" s="49" t="s">
        <v>552</v>
      </c>
      <c r="N375" s="12">
        <f>O375+P375+Q375+R375</f>
        <v>155.1</v>
      </c>
      <c r="O375" s="12"/>
      <c r="P375" s="12">
        <v>155.1</v>
      </c>
      <c r="Q375" s="12"/>
      <c r="R375" s="12"/>
      <c r="S375" s="12">
        <f>T375+U375+V375+W375</f>
        <v>155.1</v>
      </c>
      <c r="T375" s="12"/>
      <c r="U375" s="12">
        <v>155.1</v>
      </c>
      <c r="V375" s="12"/>
      <c r="W375" s="12"/>
      <c r="X375" s="12">
        <f>Y375+Z375+AA375+AB375</f>
        <v>155.1</v>
      </c>
      <c r="Y375" s="12"/>
      <c r="Z375" s="12">
        <v>155.1</v>
      </c>
      <c r="AA375" s="12"/>
      <c r="AB375" s="12"/>
      <c r="AC375" s="12">
        <f>AD375+AE375+AF375+AG375</f>
        <v>155.1</v>
      </c>
      <c r="AD375" s="12"/>
      <c r="AE375" s="12">
        <v>155.1</v>
      </c>
      <c r="AF375" s="12"/>
      <c r="AG375" s="12"/>
    </row>
    <row r="376" spans="1:33" ht="35.1" customHeight="1" thickBot="1">
      <c r="A376" s="39" t="s">
        <v>876</v>
      </c>
      <c r="B376" s="56">
        <v>3285.1</v>
      </c>
      <c r="C376" s="18"/>
      <c r="D376" s="19"/>
      <c r="E376" s="19"/>
      <c r="F376" s="19"/>
      <c r="G376" s="19"/>
      <c r="H376" s="19"/>
      <c r="I376" s="19"/>
      <c r="J376" s="19"/>
      <c r="K376" s="19"/>
      <c r="L376" s="19">
        <v>14</v>
      </c>
      <c r="M376" s="104"/>
      <c r="N376" s="19">
        <f t="shared" ref="N376:AG376" si="149">N378+N377</f>
        <v>924.6</v>
      </c>
      <c r="O376" s="19">
        <f t="shared" si="149"/>
        <v>0</v>
      </c>
      <c r="P376" s="19">
        <f t="shared" si="149"/>
        <v>924.6</v>
      </c>
      <c r="Q376" s="19">
        <f t="shared" si="149"/>
        <v>0</v>
      </c>
      <c r="R376" s="19">
        <f t="shared" si="149"/>
        <v>0</v>
      </c>
      <c r="S376" s="19">
        <f t="shared" si="149"/>
        <v>974.6</v>
      </c>
      <c r="T376" s="19">
        <f t="shared" si="149"/>
        <v>0</v>
      </c>
      <c r="U376" s="19">
        <f t="shared" si="149"/>
        <v>974.6</v>
      </c>
      <c r="V376" s="19">
        <f t="shared" si="149"/>
        <v>0</v>
      </c>
      <c r="W376" s="19">
        <f t="shared" si="149"/>
        <v>0</v>
      </c>
      <c r="X376" s="19">
        <f t="shared" si="149"/>
        <v>974.6</v>
      </c>
      <c r="Y376" s="19">
        <f t="shared" si="149"/>
        <v>0</v>
      </c>
      <c r="Z376" s="19">
        <f t="shared" si="149"/>
        <v>974.6</v>
      </c>
      <c r="AA376" s="19">
        <f t="shared" si="149"/>
        <v>0</v>
      </c>
      <c r="AB376" s="19">
        <f t="shared" si="149"/>
        <v>0</v>
      </c>
      <c r="AC376" s="19">
        <f t="shared" si="149"/>
        <v>974.6</v>
      </c>
      <c r="AD376" s="19">
        <f t="shared" si="149"/>
        <v>0</v>
      </c>
      <c r="AE376" s="19">
        <f t="shared" si="149"/>
        <v>974.6</v>
      </c>
      <c r="AF376" s="19">
        <f t="shared" si="149"/>
        <v>0</v>
      </c>
      <c r="AG376" s="19">
        <f t="shared" si="149"/>
        <v>0</v>
      </c>
    </row>
    <row r="377" spans="1:33" ht="35.1" customHeight="1" thickBot="1">
      <c r="A377" s="35"/>
      <c r="B377" s="21"/>
      <c r="C377" s="284" t="s">
        <v>23</v>
      </c>
      <c r="D377" s="142" t="s">
        <v>61</v>
      </c>
      <c r="E377" s="143" t="s">
        <v>62</v>
      </c>
      <c r="F377" s="193" t="s">
        <v>553</v>
      </c>
      <c r="G377" s="193" t="s">
        <v>27</v>
      </c>
      <c r="H377" s="193" t="s">
        <v>554</v>
      </c>
      <c r="I377" s="12"/>
      <c r="J377" s="12"/>
      <c r="K377" s="12"/>
      <c r="L377" s="12"/>
      <c r="M377" s="49" t="s">
        <v>555</v>
      </c>
      <c r="N377" s="12">
        <f>P377</f>
        <v>116.5</v>
      </c>
      <c r="O377" s="19"/>
      <c r="P377" s="12">
        <v>116.5</v>
      </c>
      <c r="Q377" s="12"/>
      <c r="R377" s="12"/>
      <c r="S377" s="12">
        <f>U377</f>
        <v>116.5</v>
      </c>
      <c r="T377" s="19"/>
      <c r="U377" s="12">
        <v>116.5</v>
      </c>
      <c r="V377" s="12"/>
      <c r="W377" s="12"/>
      <c r="X377" s="12">
        <f>Z377</f>
        <v>116.5</v>
      </c>
      <c r="Y377" s="12"/>
      <c r="Z377" s="12">
        <v>116.5</v>
      </c>
      <c r="AA377" s="12"/>
      <c r="AB377" s="12"/>
      <c r="AC377" s="12">
        <f>AE377</f>
        <v>116.5</v>
      </c>
      <c r="AD377" s="12"/>
      <c r="AE377" s="12">
        <v>116.5</v>
      </c>
      <c r="AF377" s="19"/>
      <c r="AG377" s="19"/>
    </row>
    <row r="378" spans="1:33" ht="35.1" customHeight="1" thickBot="1">
      <c r="A378" s="13"/>
      <c r="B378" s="21"/>
      <c r="C378" s="285"/>
      <c r="D378" s="148"/>
      <c r="E378" s="184"/>
      <c r="F378" s="12"/>
      <c r="G378" s="12"/>
      <c r="H378" s="12"/>
      <c r="I378" s="25"/>
      <c r="J378" s="12"/>
      <c r="K378" s="12"/>
      <c r="L378" s="12"/>
      <c r="M378" s="49" t="s">
        <v>556</v>
      </c>
      <c r="N378" s="12">
        <f>O378+P378+Q378+R378</f>
        <v>808.1</v>
      </c>
      <c r="O378" s="12"/>
      <c r="P378" s="12">
        <v>808.1</v>
      </c>
      <c r="Q378" s="12"/>
      <c r="R378" s="12"/>
      <c r="S378" s="12">
        <f>T378+U378+V378+W378</f>
        <v>858.1</v>
      </c>
      <c r="T378" s="12"/>
      <c r="U378" s="12">
        <v>858.1</v>
      </c>
      <c r="V378" s="12"/>
      <c r="W378" s="12"/>
      <c r="X378" s="12">
        <f>Y378+Z378+AA378+AB378</f>
        <v>858.1</v>
      </c>
      <c r="Y378" s="12"/>
      <c r="Z378" s="12">
        <v>858.1</v>
      </c>
      <c r="AA378" s="12"/>
      <c r="AB378" s="12"/>
      <c r="AC378" s="12">
        <f>AD378+AE378+AF378+AG378</f>
        <v>858.1</v>
      </c>
      <c r="AD378" s="12"/>
      <c r="AE378" s="12">
        <v>858.1</v>
      </c>
      <c r="AF378" s="12"/>
      <c r="AG378" s="12"/>
    </row>
    <row r="379" spans="1:33" ht="35.1" customHeight="1" thickBot="1">
      <c r="A379" s="13"/>
      <c r="B379" s="21"/>
      <c r="C379" s="22" t="s">
        <v>412</v>
      </c>
      <c r="D379" s="22" t="s">
        <v>557</v>
      </c>
      <c r="E379" s="22" t="s">
        <v>414</v>
      </c>
      <c r="F379" s="209"/>
      <c r="G379" s="209"/>
      <c r="H379" s="209"/>
      <c r="I379" s="54"/>
      <c r="J379" s="194"/>
      <c r="K379" s="55"/>
      <c r="L379" s="12"/>
      <c r="N379" s="12"/>
      <c r="O379" s="12"/>
      <c r="P379" s="12"/>
      <c r="Q379" s="12"/>
      <c r="R379" s="12"/>
      <c r="S379" s="12"/>
      <c r="T379" s="12"/>
      <c r="U379" s="12"/>
      <c r="V379" s="12"/>
      <c r="W379" s="12"/>
      <c r="X379" s="19"/>
      <c r="Y379" s="12"/>
      <c r="Z379" s="12"/>
      <c r="AA379" s="12"/>
      <c r="AB379" s="12"/>
      <c r="AC379" s="19"/>
      <c r="AD379" s="12"/>
      <c r="AE379" s="12"/>
      <c r="AF379" s="12"/>
      <c r="AG379" s="12"/>
    </row>
    <row r="380" spans="1:33" ht="35.1" customHeight="1">
      <c r="A380" s="14"/>
      <c r="B380" s="36"/>
      <c r="C380" s="15" t="s">
        <v>17</v>
      </c>
      <c r="D380" s="15" t="s">
        <v>17</v>
      </c>
      <c r="E380" s="15" t="s">
        <v>17</v>
      </c>
      <c r="F380" s="15"/>
      <c r="G380" s="15"/>
      <c r="H380" s="15"/>
      <c r="I380" s="15" t="s">
        <v>17</v>
      </c>
      <c r="J380" s="15" t="s">
        <v>17</v>
      </c>
      <c r="K380" s="15" t="s">
        <v>17</v>
      </c>
      <c r="L380" s="15" t="s">
        <v>17</v>
      </c>
      <c r="M380" s="49"/>
      <c r="N380" s="12"/>
      <c r="O380" s="12"/>
      <c r="P380" s="12"/>
      <c r="Q380" s="12"/>
      <c r="R380" s="12"/>
      <c r="S380" s="12"/>
      <c r="T380" s="12"/>
      <c r="U380" s="12"/>
      <c r="V380" s="12"/>
      <c r="W380" s="12"/>
      <c r="X380" s="12"/>
      <c r="Y380" s="12"/>
      <c r="Z380" s="12"/>
      <c r="AA380" s="12"/>
      <c r="AB380" s="12"/>
      <c r="AC380" s="12"/>
      <c r="AD380" s="12"/>
      <c r="AE380" s="12"/>
      <c r="AF380" s="12"/>
      <c r="AG380" s="12"/>
    </row>
    <row r="381" spans="1:33" ht="35.1" customHeight="1">
      <c r="A381" s="51" t="s">
        <v>558</v>
      </c>
      <c r="B381" s="9">
        <v>3400</v>
      </c>
      <c r="C381" s="9" t="s">
        <v>17</v>
      </c>
      <c r="D381" s="9" t="s">
        <v>17</v>
      </c>
      <c r="E381" s="9" t="s">
        <v>17</v>
      </c>
      <c r="F381" s="9"/>
      <c r="G381" s="9"/>
      <c r="H381" s="9"/>
      <c r="I381" s="9" t="s">
        <v>17</v>
      </c>
      <c r="J381" s="9" t="s">
        <v>17</v>
      </c>
      <c r="K381" s="9" t="s">
        <v>17</v>
      </c>
      <c r="L381" s="9" t="s">
        <v>17</v>
      </c>
      <c r="M381" s="104"/>
      <c r="N381" s="19">
        <f t="shared" ref="N381:AG381" si="150">N383+N389+N394</f>
        <v>587069.6</v>
      </c>
      <c r="O381" s="19">
        <f t="shared" si="150"/>
        <v>0</v>
      </c>
      <c r="P381" s="19">
        <f t="shared" si="150"/>
        <v>587069.6</v>
      </c>
      <c r="Q381" s="19">
        <f t="shared" si="150"/>
        <v>0</v>
      </c>
      <c r="R381" s="19">
        <f t="shared" si="150"/>
        <v>0</v>
      </c>
      <c r="S381" s="19">
        <f t="shared" si="150"/>
        <v>584293</v>
      </c>
      <c r="T381" s="19">
        <f t="shared" si="150"/>
        <v>0</v>
      </c>
      <c r="U381" s="19">
        <f t="shared" si="150"/>
        <v>584293</v>
      </c>
      <c r="V381" s="19">
        <f t="shared" si="150"/>
        <v>0</v>
      </c>
      <c r="W381" s="19">
        <f t="shared" si="150"/>
        <v>0</v>
      </c>
      <c r="X381" s="19">
        <f t="shared" si="150"/>
        <v>584293</v>
      </c>
      <c r="Y381" s="19">
        <f t="shared" si="150"/>
        <v>0</v>
      </c>
      <c r="Z381" s="19">
        <f t="shared" si="150"/>
        <v>584293</v>
      </c>
      <c r="AA381" s="19">
        <f t="shared" si="150"/>
        <v>0</v>
      </c>
      <c r="AB381" s="19">
        <f t="shared" si="150"/>
        <v>0</v>
      </c>
      <c r="AC381" s="19">
        <f t="shared" si="150"/>
        <v>584293</v>
      </c>
      <c r="AD381" s="19">
        <f t="shared" si="150"/>
        <v>0</v>
      </c>
      <c r="AE381" s="19">
        <f t="shared" si="150"/>
        <v>584293</v>
      </c>
      <c r="AF381" s="19">
        <f t="shared" si="150"/>
        <v>0</v>
      </c>
      <c r="AG381" s="19">
        <f t="shared" si="150"/>
        <v>0</v>
      </c>
    </row>
    <row r="382" spans="1:33" ht="35.1" customHeight="1">
      <c r="A382" s="80" t="s">
        <v>19</v>
      </c>
      <c r="B382" s="15">
        <v>3401</v>
      </c>
      <c r="C382" s="11"/>
      <c r="D382" s="12"/>
      <c r="E382" s="12"/>
      <c r="F382" s="12"/>
      <c r="G382" s="12"/>
      <c r="H382" s="12"/>
      <c r="I382" s="12"/>
      <c r="J382" s="12"/>
      <c r="K382" s="12"/>
      <c r="L382" s="12"/>
      <c r="M382" s="102" t="s">
        <v>17</v>
      </c>
      <c r="N382" s="12"/>
      <c r="O382" s="12"/>
      <c r="P382" s="12"/>
      <c r="Q382" s="12"/>
      <c r="R382" s="12"/>
      <c r="S382" s="12"/>
      <c r="T382" s="12"/>
      <c r="U382" s="12"/>
      <c r="V382" s="12"/>
      <c r="W382" s="12"/>
      <c r="X382" s="12"/>
      <c r="Y382" s="12"/>
      <c r="Z382" s="12"/>
      <c r="AA382" s="12"/>
      <c r="AB382" s="12"/>
      <c r="AC382" s="12"/>
      <c r="AD382" s="12"/>
      <c r="AE382" s="12"/>
      <c r="AF382" s="12"/>
      <c r="AG382" s="12"/>
    </row>
    <row r="383" spans="1:33" ht="35.1" customHeight="1">
      <c r="A383" s="51" t="s">
        <v>559</v>
      </c>
      <c r="B383" s="9"/>
      <c r="C383" s="18"/>
      <c r="D383" s="19"/>
      <c r="E383" s="19"/>
      <c r="F383" s="19"/>
      <c r="G383" s="19"/>
      <c r="H383" s="19"/>
      <c r="I383" s="19"/>
      <c r="J383" s="19"/>
      <c r="K383" s="19"/>
      <c r="L383" s="19">
        <v>6</v>
      </c>
      <c r="M383" s="104"/>
      <c r="N383" s="19">
        <f>N384+N385+N386+N387+N388</f>
        <v>308983.60000000003</v>
      </c>
      <c r="O383" s="19">
        <f t="shared" ref="O383:AG383" si="151">O384+O385+O386+O387+O388</f>
        <v>0</v>
      </c>
      <c r="P383" s="19">
        <f t="shared" si="151"/>
        <v>308983.60000000003</v>
      </c>
      <c r="Q383" s="19">
        <f t="shared" si="151"/>
        <v>0</v>
      </c>
      <c r="R383" s="19">
        <f t="shared" si="151"/>
        <v>0</v>
      </c>
      <c r="S383" s="19">
        <f t="shared" si="151"/>
        <v>306207</v>
      </c>
      <c r="T383" s="19">
        <f t="shared" si="151"/>
        <v>0</v>
      </c>
      <c r="U383" s="19">
        <f t="shared" si="151"/>
        <v>306207</v>
      </c>
      <c r="V383" s="19">
        <f t="shared" si="151"/>
        <v>0</v>
      </c>
      <c r="W383" s="19">
        <f t="shared" si="151"/>
        <v>0</v>
      </c>
      <c r="X383" s="19">
        <f t="shared" si="151"/>
        <v>306207</v>
      </c>
      <c r="Y383" s="19">
        <f t="shared" si="151"/>
        <v>0</v>
      </c>
      <c r="Z383" s="19">
        <f t="shared" si="151"/>
        <v>306207</v>
      </c>
      <c r="AA383" s="19">
        <f t="shared" si="151"/>
        <v>0</v>
      </c>
      <c r="AB383" s="19">
        <f t="shared" si="151"/>
        <v>0</v>
      </c>
      <c r="AC383" s="19">
        <f t="shared" si="151"/>
        <v>306207</v>
      </c>
      <c r="AD383" s="19">
        <f t="shared" si="151"/>
        <v>0</v>
      </c>
      <c r="AE383" s="19">
        <f t="shared" si="151"/>
        <v>306207</v>
      </c>
      <c r="AF383" s="19">
        <f t="shared" si="151"/>
        <v>0</v>
      </c>
      <c r="AG383" s="19">
        <f t="shared" si="151"/>
        <v>0</v>
      </c>
    </row>
    <row r="384" spans="1:33" ht="35.1" customHeight="1" thickBot="1">
      <c r="A384" s="125"/>
      <c r="B384" s="47"/>
      <c r="C384" s="25" t="s">
        <v>127</v>
      </c>
      <c r="D384" s="25" t="s">
        <v>128</v>
      </c>
      <c r="E384" s="25" t="s">
        <v>129</v>
      </c>
      <c r="F384" s="25" t="s">
        <v>560</v>
      </c>
      <c r="G384" s="25" t="s">
        <v>128</v>
      </c>
      <c r="H384" s="25" t="s">
        <v>561</v>
      </c>
      <c r="I384" s="22" t="s">
        <v>645</v>
      </c>
      <c r="J384" s="194" t="s">
        <v>111</v>
      </c>
      <c r="K384" s="25" t="s">
        <v>701</v>
      </c>
      <c r="L384" s="12"/>
      <c r="M384" s="49" t="s">
        <v>564</v>
      </c>
      <c r="N384" s="12">
        <f t="shared" ref="N384:N388" si="152">O384+P384+Q384+R384</f>
        <v>57489</v>
      </c>
      <c r="O384" s="12"/>
      <c r="P384" s="12">
        <v>57489</v>
      </c>
      <c r="Q384" s="12"/>
      <c r="R384" s="12"/>
      <c r="S384" s="12">
        <f t="shared" ref="S384:S388" si="153">T384+U384+V384+W384</f>
        <v>57489</v>
      </c>
      <c r="T384" s="12"/>
      <c r="U384" s="12">
        <v>57489</v>
      </c>
      <c r="V384" s="12"/>
      <c r="W384" s="12"/>
      <c r="X384" s="12">
        <f t="shared" ref="X384:X388" si="154">Y384+Z384+AA384+AB384</f>
        <v>57489</v>
      </c>
      <c r="Y384" s="12"/>
      <c r="Z384" s="12">
        <v>57489</v>
      </c>
      <c r="AA384" s="12"/>
      <c r="AB384" s="12"/>
      <c r="AC384" s="12">
        <f t="shared" ref="AC384:AC388" si="155">AD384+AE384+AF384+AG384</f>
        <v>57489</v>
      </c>
      <c r="AD384" s="12"/>
      <c r="AE384" s="12">
        <v>57489</v>
      </c>
      <c r="AF384" s="12"/>
      <c r="AG384" s="12"/>
    </row>
    <row r="385" spans="1:33" ht="35.1" customHeight="1" thickBot="1">
      <c r="A385" s="125"/>
      <c r="B385" s="78"/>
      <c r="C385" s="22" t="s">
        <v>412</v>
      </c>
      <c r="D385" s="22" t="s">
        <v>562</v>
      </c>
      <c r="E385" s="22" t="s">
        <v>414</v>
      </c>
      <c r="F385" s="153"/>
      <c r="G385" s="191"/>
      <c r="H385" s="191"/>
      <c r="I385" s="39" t="s">
        <v>563</v>
      </c>
      <c r="J385" s="194" t="s">
        <v>111</v>
      </c>
      <c r="K385" s="25" t="s">
        <v>702</v>
      </c>
      <c r="L385" s="12"/>
      <c r="M385" s="49" t="s">
        <v>565</v>
      </c>
      <c r="N385" s="12">
        <f t="shared" si="152"/>
        <v>14900.3</v>
      </c>
      <c r="O385" s="12"/>
      <c r="P385" s="12">
        <v>14900.3</v>
      </c>
      <c r="Q385" s="12"/>
      <c r="R385" s="12"/>
      <c r="S385" s="12">
        <f t="shared" si="153"/>
        <v>14900.3</v>
      </c>
      <c r="T385" s="12"/>
      <c r="U385" s="12">
        <v>14900.3</v>
      </c>
      <c r="V385" s="12"/>
      <c r="W385" s="12"/>
      <c r="X385" s="12">
        <f t="shared" si="154"/>
        <v>14900.3</v>
      </c>
      <c r="Y385" s="12"/>
      <c r="Z385" s="12">
        <v>14900.3</v>
      </c>
      <c r="AA385" s="12"/>
      <c r="AB385" s="12"/>
      <c r="AC385" s="12">
        <f t="shared" si="155"/>
        <v>14900.3</v>
      </c>
      <c r="AD385" s="12"/>
      <c r="AE385" s="12">
        <v>14900.3</v>
      </c>
      <c r="AF385" s="12"/>
      <c r="AG385" s="12"/>
    </row>
    <row r="386" spans="1:33" ht="35.1" customHeight="1" thickBot="1">
      <c r="A386" s="125"/>
      <c r="B386" s="78"/>
      <c r="C386" s="25"/>
      <c r="D386" s="25"/>
      <c r="E386" s="25"/>
      <c r="F386" s="25"/>
      <c r="G386" s="25"/>
      <c r="H386" s="25"/>
      <c r="I386" s="39"/>
      <c r="J386" s="194"/>
      <c r="K386" s="25"/>
      <c r="L386" s="12"/>
      <c r="M386" s="49" t="s">
        <v>566</v>
      </c>
      <c r="N386" s="12">
        <f t="shared" si="152"/>
        <v>184480.9</v>
      </c>
      <c r="O386" s="12"/>
      <c r="P386" s="12">
        <v>184480.9</v>
      </c>
      <c r="Q386" s="12"/>
      <c r="R386" s="12"/>
      <c r="S386" s="12">
        <f t="shared" si="153"/>
        <v>182478.5</v>
      </c>
      <c r="T386" s="12"/>
      <c r="U386" s="12">
        <v>182478.5</v>
      </c>
      <c r="V386" s="12"/>
      <c r="W386" s="12"/>
      <c r="X386" s="12">
        <f t="shared" si="154"/>
        <v>182478.5</v>
      </c>
      <c r="Y386" s="12"/>
      <c r="Z386" s="12">
        <v>182478.5</v>
      </c>
      <c r="AA386" s="12"/>
      <c r="AB386" s="12"/>
      <c r="AC386" s="12">
        <f t="shared" si="155"/>
        <v>182478.5</v>
      </c>
      <c r="AD386" s="12"/>
      <c r="AE386" s="12">
        <v>182478.5</v>
      </c>
      <c r="AF386" s="12"/>
      <c r="AG386" s="12"/>
    </row>
    <row r="387" spans="1:33" ht="35.1" customHeight="1" thickBot="1">
      <c r="A387" s="125"/>
      <c r="B387" s="78"/>
      <c r="C387" s="25"/>
      <c r="D387" s="25"/>
      <c r="E387" s="25"/>
      <c r="F387" s="25"/>
      <c r="G387" s="25"/>
      <c r="H387" s="25"/>
      <c r="I387" s="39"/>
      <c r="J387" s="194"/>
      <c r="K387" s="25"/>
      <c r="L387" s="12"/>
      <c r="M387" s="49" t="s">
        <v>567</v>
      </c>
      <c r="N387" s="12">
        <f t="shared" si="152"/>
        <v>49816.7</v>
      </c>
      <c r="O387" s="12"/>
      <c r="P387" s="12">
        <v>49816.7</v>
      </c>
      <c r="Q387" s="12"/>
      <c r="R387" s="12"/>
      <c r="S387" s="12">
        <f t="shared" si="153"/>
        <v>49255.4</v>
      </c>
      <c r="T387" s="12"/>
      <c r="U387" s="12">
        <v>49255.4</v>
      </c>
      <c r="V387" s="12"/>
      <c r="W387" s="12"/>
      <c r="X387" s="12">
        <f t="shared" si="154"/>
        <v>49255.4</v>
      </c>
      <c r="Y387" s="12"/>
      <c r="Z387" s="12">
        <v>49255.4</v>
      </c>
      <c r="AA387" s="12"/>
      <c r="AB387" s="12"/>
      <c r="AC387" s="12">
        <f t="shared" si="155"/>
        <v>49255.4</v>
      </c>
      <c r="AD387" s="12"/>
      <c r="AE387" s="12">
        <v>49255.4</v>
      </c>
      <c r="AF387" s="12"/>
      <c r="AG387" s="12"/>
    </row>
    <row r="388" spans="1:33" ht="35.1" customHeight="1" thickBot="1">
      <c r="A388" s="125"/>
      <c r="B388" s="78"/>
      <c r="C388" s="25"/>
      <c r="D388" s="25"/>
      <c r="E388" s="25"/>
      <c r="F388" s="25"/>
      <c r="G388" s="25"/>
      <c r="H388" s="25"/>
      <c r="I388" s="39"/>
      <c r="J388" s="194"/>
      <c r="K388" s="25"/>
      <c r="L388" s="12"/>
      <c r="M388" s="49" t="s">
        <v>568</v>
      </c>
      <c r="N388" s="12">
        <f t="shared" si="152"/>
        <v>2296.6999999999998</v>
      </c>
      <c r="O388" s="12"/>
      <c r="P388" s="12">
        <v>2296.6999999999998</v>
      </c>
      <c r="Q388" s="12"/>
      <c r="R388" s="12"/>
      <c r="S388" s="12">
        <f t="shared" si="153"/>
        <v>2083.8000000000002</v>
      </c>
      <c r="T388" s="12"/>
      <c r="U388" s="12">
        <v>2083.8000000000002</v>
      </c>
      <c r="V388" s="12"/>
      <c r="W388" s="12"/>
      <c r="X388" s="12">
        <f t="shared" si="154"/>
        <v>2083.8000000000002</v>
      </c>
      <c r="Y388" s="12"/>
      <c r="Z388" s="12">
        <v>2083.8000000000002</v>
      </c>
      <c r="AA388" s="12"/>
      <c r="AB388" s="12"/>
      <c r="AC388" s="12">
        <f t="shared" si="155"/>
        <v>2083.8000000000002</v>
      </c>
      <c r="AD388" s="12"/>
      <c r="AE388" s="12">
        <v>2083.8000000000002</v>
      </c>
      <c r="AF388" s="12"/>
      <c r="AG388" s="12"/>
    </row>
    <row r="389" spans="1:33" ht="35.1" customHeight="1">
      <c r="A389" s="72" t="s">
        <v>569</v>
      </c>
      <c r="B389" s="126">
        <v>3403</v>
      </c>
      <c r="C389" s="18"/>
      <c r="D389" s="19"/>
      <c r="E389" s="19"/>
      <c r="F389" s="19"/>
      <c r="G389" s="19"/>
      <c r="H389" s="19"/>
      <c r="I389" s="19"/>
      <c r="J389" s="19"/>
      <c r="K389" s="19"/>
      <c r="L389" s="19">
        <v>6</v>
      </c>
      <c r="M389" s="49"/>
      <c r="N389" s="34">
        <f>N390+N391+N392+N393</f>
        <v>232381.4</v>
      </c>
      <c r="O389" s="34">
        <f t="shared" ref="O389:AG389" si="156">O390+O391+O392+O393</f>
        <v>0</v>
      </c>
      <c r="P389" s="34">
        <f t="shared" si="156"/>
        <v>232381.4</v>
      </c>
      <c r="Q389" s="34">
        <f t="shared" si="156"/>
        <v>0</v>
      </c>
      <c r="R389" s="34">
        <f t="shared" si="156"/>
        <v>0</v>
      </c>
      <c r="S389" s="34">
        <f t="shared" si="156"/>
        <v>232381.4</v>
      </c>
      <c r="T389" s="34">
        <f t="shared" si="156"/>
        <v>0</v>
      </c>
      <c r="U389" s="34">
        <f t="shared" si="156"/>
        <v>232381.4</v>
      </c>
      <c r="V389" s="34">
        <f t="shared" si="156"/>
        <v>0</v>
      </c>
      <c r="W389" s="34">
        <f t="shared" si="156"/>
        <v>0</v>
      </c>
      <c r="X389" s="34">
        <f t="shared" si="156"/>
        <v>232381.4</v>
      </c>
      <c r="Y389" s="34">
        <f t="shared" si="156"/>
        <v>0</v>
      </c>
      <c r="Z389" s="34">
        <f t="shared" si="156"/>
        <v>232381.4</v>
      </c>
      <c r="AA389" s="34">
        <f t="shared" si="156"/>
        <v>0</v>
      </c>
      <c r="AB389" s="34">
        <f t="shared" si="156"/>
        <v>0</v>
      </c>
      <c r="AC389" s="34">
        <f t="shared" si="156"/>
        <v>232381.4</v>
      </c>
      <c r="AD389" s="34">
        <f t="shared" si="156"/>
        <v>0</v>
      </c>
      <c r="AE389" s="34">
        <f t="shared" si="156"/>
        <v>232381.4</v>
      </c>
      <c r="AF389" s="34">
        <f t="shared" si="156"/>
        <v>0</v>
      </c>
      <c r="AG389" s="34">
        <f t="shared" si="156"/>
        <v>0</v>
      </c>
    </row>
    <row r="390" spans="1:33" ht="35.1" customHeight="1">
      <c r="A390" s="35"/>
      <c r="B390" s="53"/>
      <c r="C390" s="22" t="s">
        <v>412</v>
      </c>
      <c r="D390" s="22" t="s">
        <v>562</v>
      </c>
      <c r="E390" s="22" t="s">
        <v>414</v>
      </c>
      <c r="F390" s="25" t="s">
        <v>560</v>
      </c>
      <c r="G390" s="25" t="s">
        <v>128</v>
      </c>
      <c r="H390" s="25" t="s">
        <v>561</v>
      </c>
      <c r="I390" s="39"/>
      <c r="J390" s="19"/>
      <c r="K390" s="19"/>
      <c r="L390" s="12"/>
      <c r="M390" s="49" t="s">
        <v>570</v>
      </c>
      <c r="N390" s="12">
        <f>O390+P390+Q390+R390</f>
        <v>57397.7</v>
      </c>
      <c r="O390" s="12"/>
      <c r="P390" s="12">
        <v>57397.7</v>
      </c>
      <c r="Q390" s="12"/>
      <c r="R390" s="12"/>
      <c r="S390" s="12">
        <f>T390+U390+V390+W390</f>
        <v>57397.7</v>
      </c>
      <c r="T390" s="12"/>
      <c r="U390" s="12">
        <v>57397.7</v>
      </c>
      <c r="V390" s="12"/>
      <c r="W390" s="12"/>
      <c r="X390" s="12">
        <f>Y390+Z390+AA390+AB390</f>
        <v>57397.7</v>
      </c>
      <c r="Y390" s="12"/>
      <c r="Z390" s="12">
        <v>57397.7</v>
      </c>
      <c r="AA390" s="12"/>
      <c r="AB390" s="12"/>
      <c r="AC390" s="12">
        <f>AD390+AE390+AF390+AG390</f>
        <v>57397.7</v>
      </c>
      <c r="AD390" s="12"/>
      <c r="AE390" s="12">
        <v>57397.7</v>
      </c>
      <c r="AF390" s="12"/>
      <c r="AG390" s="12"/>
    </row>
    <row r="391" spans="1:33" ht="35.1" customHeight="1">
      <c r="A391" s="35"/>
      <c r="B391" s="127"/>
      <c r="C391" s="22" t="s">
        <v>571</v>
      </c>
      <c r="D391" s="22" t="s">
        <v>572</v>
      </c>
      <c r="E391" s="22" t="s">
        <v>573</v>
      </c>
      <c r="F391" s="25"/>
      <c r="G391" s="25"/>
      <c r="H391" s="25"/>
      <c r="I391" s="39" t="s">
        <v>563</v>
      </c>
      <c r="J391" s="194" t="s">
        <v>111</v>
      </c>
      <c r="K391" s="25" t="s">
        <v>702</v>
      </c>
      <c r="L391" s="12"/>
      <c r="M391" s="247" t="s">
        <v>574</v>
      </c>
      <c r="N391" s="12">
        <f t="shared" ref="N391:N393" si="157">O391+P391+Q391+R391</f>
        <v>11236.9</v>
      </c>
      <c r="O391" s="37"/>
      <c r="P391" s="37">
        <v>11236.9</v>
      </c>
      <c r="Q391" s="37"/>
      <c r="R391" s="37"/>
      <c r="S391" s="12">
        <f t="shared" ref="S391:S393" si="158">T391+U391+V391+W391</f>
        <v>11236.9</v>
      </c>
      <c r="T391" s="37"/>
      <c r="U391" s="37">
        <v>11236.9</v>
      </c>
      <c r="V391" s="37"/>
      <c r="W391" s="37"/>
      <c r="X391" s="12">
        <f t="shared" ref="X391:X393" si="159">Y391+Z391+AA391+AB391</f>
        <v>11236.9</v>
      </c>
      <c r="Y391" s="37"/>
      <c r="Z391" s="37">
        <v>11236.9</v>
      </c>
      <c r="AA391" s="37"/>
      <c r="AB391" s="37"/>
      <c r="AC391" s="12">
        <f t="shared" ref="AC391:AC393" si="160">AD391+AE391+AF391+AG391</f>
        <v>11236.9</v>
      </c>
      <c r="AD391" s="37"/>
      <c r="AE391" s="37">
        <v>11236.9</v>
      </c>
      <c r="AF391" s="37"/>
      <c r="AG391" s="37"/>
    </row>
    <row r="392" spans="1:33" ht="35.1" customHeight="1">
      <c r="A392" s="35"/>
      <c r="B392" s="127"/>
      <c r="C392" s="25"/>
      <c r="D392" s="25"/>
      <c r="E392" s="25"/>
      <c r="F392" s="25"/>
      <c r="G392" s="25"/>
      <c r="H392" s="25"/>
      <c r="I392" s="39"/>
      <c r="J392" s="194"/>
      <c r="K392" s="23"/>
      <c r="L392" s="12"/>
      <c r="M392" s="49" t="s">
        <v>575</v>
      </c>
      <c r="N392" s="12">
        <f t="shared" si="157"/>
        <v>136406.70000000001</v>
      </c>
      <c r="O392" s="12"/>
      <c r="P392" s="12">
        <v>136406.70000000001</v>
      </c>
      <c r="Q392" s="12"/>
      <c r="R392" s="12"/>
      <c r="S392" s="12">
        <f t="shared" si="158"/>
        <v>136406.70000000001</v>
      </c>
      <c r="T392" s="12"/>
      <c r="U392" s="12">
        <v>136406.70000000001</v>
      </c>
      <c r="V392" s="12"/>
      <c r="W392" s="12"/>
      <c r="X392" s="12">
        <f t="shared" si="159"/>
        <v>136406.70000000001</v>
      </c>
      <c r="Y392" s="12"/>
      <c r="Z392" s="12">
        <v>136406.70000000001</v>
      </c>
      <c r="AA392" s="12"/>
      <c r="AB392" s="12"/>
      <c r="AC392" s="12">
        <f t="shared" si="160"/>
        <v>136406.70000000001</v>
      </c>
      <c r="AD392" s="12"/>
      <c r="AE392" s="12">
        <v>136406.70000000001</v>
      </c>
      <c r="AF392" s="12"/>
      <c r="AG392" s="12"/>
    </row>
    <row r="393" spans="1:33" ht="35.1" customHeight="1">
      <c r="A393" s="35"/>
      <c r="B393" s="127"/>
      <c r="C393" s="25"/>
      <c r="D393" s="25"/>
      <c r="E393" s="25"/>
      <c r="F393" s="25"/>
      <c r="G393" s="25"/>
      <c r="H393" s="25"/>
      <c r="I393" s="39"/>
      <c r="J393" s="194"/>
      <c r="K393" s="23"/>
      <c r="L393" s="12"/>
      <c r="M393" s="49" t="s">
        <v>576</v>
      </c>
      <c r="N393" s="12">
        <f t="shared" si="157"/>
        <v>27340.1</v>
      </c>
      <c r="O393" s="12"/>
      <c r="P393" s="12">
        <v>27340.1</v>
      </c>
      <c r="Q393" s="12"/>
      <c r="R393" s="12"/>
      <c r="S393" s="12">
        <f t="shared" si="158"/>
        <v>27340.1</v>
      </c>
      <c r="T393" s="12"/>
      <c r="U393" s="12">
        <v>27340.1</v>
      </c>
      <c r="V393" s="12"/>
      <c r="W393" s="12"/>
      <c r="X393" s="12">
        <f t="shared" si="159"/>
        <v>27340.1</v>
      </c>
      <c r="Y393" s="12"/>
      <c r="Z393" s="12">
        <v>27340.1</v>
      </c>
      <c r="AA393" s="12"/>
      <c r="AB393" s="12"/>
      <c r="AC393" s="12">
        <f t="shared" si="160"/>
        <v>27340.1</v>
      </c>
      <c r="AD393" s="12"/>
      <c r="AE393" s="12">
        <v>27340.1</v>
      </c>
      <c r="AF393" s="12"/>
      <c r="AG393" s="12"/>
    </row>
    <row r="394" spans="1:33" ht="35.1" customHeight="1">
      <c r="A394" s="75" t="s">
        <v>577</v>
      </c>
      <c r="B394" s="128"/>
      <c r="C394" s="71"/>
      <c r="D394" s="71"/>
      <c r="E394" s="71"/>
      <c r="F394" s="71"/>
      <c r="G394" s="71"/>
      <c r="H394" s="71"/>
      <c r="I394" s="95"/>
      <c r="J394" s="99"/>
      <c r="K394" s="64"/>
      <c r="L394" s="19"/>
      <c r="M394" s="49"/>
      <c r="N394" s="19">
        <f>N395+N396+N397</f>
        <v>45704.6</v>
      </c>
      <c r="O394" s="19">
        <f t="shared" ref="O394:AG394" si="161">O395+O396+O397</f>
        <v>0</v>
      </c>
      <c r="P394" s="19">
        <f t="shared" si="161"/>
        <v>45704.6</v>
      </c>
      <c r="Q394" s="19">
        <f t="shared" si="161"/>
        <v>0</v>
      </c>
      <c r="R394" s="19">
        <f t="shared" si="161"/>
        <v>0</v>
      </c>
      <c r="S394" s="19">
        <f t="shared" si="161"/>
        <v>45704.6</v>
      </c>
      <c r="T394" s="19">
        <f t="shared" si="161"/>
        <v>0</v>
      </c>
      <c r="U394" s="19">
        <f t="shared" si="161"/>
        <v>45704.6</v>
      </c>
      <c r="V394" s="19">
        <f t="shared" si="161"/>
        <v>0</v>
      </c>
      <c r="W394" s="19">
        <f t="shared" si="161"/>
        <v>0</v>
      </c>
      <c r="X394" s="19">
        <f t="shared" si="161"/>
        <v>45704.6</v>
      </c>
      <c r="Y394" s="19">
        <f t="shared" si="161"/>
        <v>0</v>
      </c>
      <c r="Z394" s="19">
        <f t="shared" si="161"/>
        <v>45704.6</v>
      </c>
      <c r="AA394" s="19">
        <f t="shared" si="161"/>
        <v>0</v>
      </c>
      <c r="AB394" s="19">
        <f t="shared" si="161"/>
        <v>0</v>
      </c>
      <c r="AC394" s="19">
        <f t="shared" si="161"/>
        <v>45704.6</v>
      </c>
      <c r="AD394" s="19">
        <f t="shared" si="161"/>
        <v>0</v>
      </c>
      <c r="AE394" s="19">
        <f t="shared" si="161"/>
        <v>45704.6</v>
      </c>
      <c r="AF394" s="19">
        <f t="shared" si="161"/>
        <v>0</v>
      </c>
      <c r="AG394" s="19">
        <f t="shared" si="161"/>
        <v>0</v>
      </c>
    </row>
    <row r="395" spans="1:33" ht="35.1" customHeight="1" thickBot="1">
      <c r="A395" s="125"/>
      <c r="B395" s="78"/>
      <c r="C395" s="22" t="s">
        <v>571</v>
      </c>
      <c r="D395" s="22" t="s">
        <v>572</v>
      </c>
      <c r="E395" s="22" t="s">
        <v>573</v>
      </c>
      <c r="F395" s="25" t="s">
        <v>560</v>
      </c>
      <c r="G395" s="25" t="s">
        <v>128</v>
      </c>
      <c r="H395" s="25" t="s">
        <v>561</v>
      </c>
      <c r="I395" s="39"/>
      <c r="J395" s="99"/>
      <c r="K395" s="64"/>
      <c r="L395" s="12"/>
      <c r="M395" s="49" t="s">
        <v>578</v>
      </c>
      <c r="N395" s="12">
        <f>O395+P395+Q395+R395</f>
        <v>32624.799999999999</v>
      </c>
      <c r="O395" s="12"/>
      <c r="P395" s="12">
        <v>32624.799999999999</v>
      </c>
      <c r="Q395" s="12"/>
      <c r="R395" s="12"/>
      <c r="S395" s="12">
        <f>T395+U395+V395+W395</f>
        <v>32624.799999999999</v>
      </c>
      <c r="T395" s="12"/>
      <c r="U395" s="12">
        <v>32624.799999999999</v>
      </c>
      <c r="V395" s="12"/>
      <c r="W395" s="12"/>
      <c r="X395" s="12">
        <f>Y395+Z395+AA395+AB395</f>
        <v>32624.799999999999</v>
      </c>
      <c r="Y395" s="12"/>
      <c r="Z395" s="12">
        <v>32624.799999999999</v>
      </c>
      <c r="AA395" s="12"/>
      <c r="AB395" s="12"/>
      <c r="AC395" s="12">
        <f>AD395+AE395+AF395+AG395</f>
        <v>32624.799999999999</v>
      </c>
      <c r="AD395" s="12"/>
      <c r="AE395" s="12">
        <v>32624.799999999999</v>
      </c>
      <c r="AF395" s="12"/>
      <c r="AG395" s="12"/>
    </row>
    <row r="396" spans="1:33" ht="35.1" customHeight="1">
      <c r="A396" s="74"/>
      <c r="B396" s="47"/>
      <c r="C396" s="22" t="s">
        <v>412</v>
      </c>
      <c r="D396" s="22" t="s">
        <v>562</v>
      </c>
      <c r="E396" s="22" t="s">
        <v>414</v>
      </c>
      <c r="F396" s="25"/>
      <c r="G396" s="25"/>
      <c r="H396" s="25"/>
      <c r="I396" s="39" t="s">
        <v>703</v>
      </c>
      <c r="J396" s="194" t="s">
        <v>111</v>
      </c>
      <c r="K396" s="25" t="s">
        <v>702</v>
      </c>
      <c r="L396" s="12"/>
      <c r="M396" s="49" t="s">
        <v>579</v>
      </c>
      <c r="N396" s="12">
        <f>O396+P396+Q396+R396</f>
        <v>11979.1</v>
      </c>
      <c r="O396" s="12"/>
      <c r="P396" s="12">
        <v>11979.1</v>
      </c>
      <c r="Q396" s="12"/>
      <c r="R396" s="12"/>
      <c r="S396" s="12">
        <f>T396+U396+V396+W396</f>
        <v>11979.1</v>
      </c>
      <c r="T396" s="12"/>
      <c r="U396" s="12">
        <v>11979.1</v>
      </c>
      <c r="V396" s="12"/>
      <c r="W396" s="12"/>
      <c r="X396" s="12">
        <f>Y396+Z396+AA396+AB396</f>
        <v>11979.1</v>
      </c>
      <c r="Y396" s="12"/>
      <c r="Z396" s="12">
        <v>11979.1</v>
      </c>
      <c r="AA396" s="12"/>
      <c r="AB396" s="12"/>
      <c r="AC396" s="12">
        <f>AD396+AE396+AF396+AG396</f>
        <v>11979.1</v>
      </c>
      <c r="AD396" s="12"/>
      <c r="AE396" s="12">
        <v>11979.1</v>
      </c>
      <c r="AF396" s="12"/>
      <c r="AG396" s="12"/>
    </row>
    <row r="397" spans="1:33" ht="35.1" customHeight="1">
      <c r="A397" s="74"/>
      <c r="B397" s="47"/>
      <c r="C397" s="25"/>
      <c r="D397" s="25"/>
      <c r="E397" s="25"/>
      <c r="F397" s="25"/>
      <c r="G397" s="25"/>
      <c r="H397" s="25"/>
      <c r="I397" s="39"/>
      <c r="J397" s="194"/>
      <c r="K397" s="25"/>
      <c r="L397" s="12"/>
      <c r="M397" s="49" t="s">
        <v>580</v>
      </c>
      <c r="N397" s="12">
        <f>O397+P397+Q397+R397</f>
        <v>1100.7</v>
      </c>
      <c r="O397" s="12"/>
      <c r="P397" s="12">
        <v>1100.7</v>
      </c>
      <c r="Q397" s="12"/>
      <c r="R397" s="12"/>
      <c r="S397" s="12">
        <f>T397+U397+V397+W397</f>
        <v>1100.7</v>
      </c>
      <c r="T397" s="12"/>
      <c r="U397" s="12">
        <v>1100.7</v>
      </c>
      <c r="V397" s="12"/>
      <c r="W397" s="12"/>
      <c r="X397" s="12">
        <f>Y397+Z397+AA397+AB397</f>
        <v>1100.7</v>
      </c>
      <c r="Y397" s="12"/>
      <c r="Z397" s="12">
        <v>1100.7</v>
      </c>
      <c r="AA397" s="12"/>
      <c r="AB397" s="12"/>
      <c r="AC397" s="12">
        <f>AD397+AE397+AF397+AG397</f>
        <v>1100.7</v>
      </c>
      <c r="AD397" s="12"/>
      <c r="AE397" s="12">
        <v>1100.7</v>
      </c>
      <c r="AF397" s="12"/>
      <c r="AG397" s="12"/>
    </row>
    <row r="398" spans="1:33" ht="35.1" customHeight="1">
      <c r="A398" s="8" t="s">
        <v>581</v>
      </c>
      <c r="B398" s="98">
        <v>3500</v>
      </c>
      <c r="C398" s="9" t="s">
        <v>17</v>
      </c>
      <c r="D398" s="9" t="s">
        <v>17</v>
      </c>
      <c r="E398" s="9" t="s">
        <v>17</v>
      </c>
      <c r="F398" s="9"/>
      <c r="G398" s="9"/>
      <c r="H398" s="9"/>
      <c r="I398" s="9" t="s">
        <v>17</v>
      </c>
      <c r="J398" s="9" t="s">
        <v>17</v>
      </c>
      <c r="K398" s="9" t="s">
        <v>17</v>
      </c>
      <c r="L398" s="9" t="s">
        <v>17</v>
      </c>
      <c r="M398" s="49"/>
      <c r="N398" s="19"/>
      <c r="O398" s="19"/>
      <c r="P398" s="19"/>
      <c r="Q398" s="19"/>
      <c r="R398" s="19"/>
      <c r="S398" s="19"/>
      <c r="T398" s="19"/>
      <c r="U398" s="19"/>
      <c r="V398" s="19"/>
      <c r="W398" s="19"/>
      <c r="X398" s="19"/>
      <c r="Y398" s="19"/>
      <c r="Z398" s="19"/>
      <c r="AA398" s="19"/>
      <c r="AB398" s="19"/>
      <c r="AC398" s="19"/>
      <c r="AD398" s="19"/>
      <c r="AE398" s="19"/>
      <c r="AF398" s="19"/>
      <c r="AG398" s="19"/>
    </row>
    <row r="399" spans="1:33" ht="35.1" customHeight="1">
      <c r="A399" s="77" t="s">
        <v>582</v>
      </c>
      <c r="B399" s="78">
        <v>3501</v>
      </c>
      <c r="C399" s="15" t="s">
        <v>17</v>
      </c>
      <c r="D399" s="15" t="s">
        <v>17</v>
      </c>
      <c r="E399" s="15" t="s">
        <v>17</v>
      </c>
      <c r="F399" s="15"/>
      <c r="G399" s="15"/>
      <c r="H399" s="15"/>
      <c r="I399" s="15" t="s">
        <v>17</v>
      </c>
      <c r="J399" s="15" t="s">
        <v>17</v>
      </c>
      <c r="K399" s="15" t="s">
        <v>17</v>
      </c>
      <c r="L399" s="15" t="s">
        <v>17</v>
      </c>
      <c r="M399" s="102" t="s">
        <v>17</v>
      </c>
      <c r="N399" s="12"/>
      <c r="O399" s="12"/>
      <c r="P399" s="12"/>
      <c r="Q399" s="12"/>
      <c r="R399" s="12"/>
      <c r="S399" s="12"/>
      <c r="T399" s="12"/>
      <c r="U399" s="12"/>
      <c r="V399" s="12"/>
      <c r="W399" s="12"/>
      <c r="X399" s="12"/>
      <c r="Y399" s="12"/>
      <c r="Z399" s="12"/>
      <c r="AA399" s="12"/>
      <c r="AB399" s="12"/>
      <c r="AC399" s="12"/>
      <c r="AD399" s="12"/>
      <c r="AE399" s="12"/>
      <c r="AF399" s="12"/>
      <c r="AG399" s="12"/>
    </row>
    <row r="400" spans="1:33" ht="35.1" customHeight="1">
      <c r="A400" s="8" t="s">
        <v>583</v>
      </c>
      <c r="B400" s="96">
        <v>3502</v>
      </c>
      <c r="C400" s="9" t="s">
        <v>17</v>
      </c>
      <c r="D400" s="9" t="s">
        <v>17</v>
      </c>
      <c r="E400" s="9" t="s">
        <v>17</v>
      </c>
      <c r="F400" s="9"/>
      <c r="G400" s="9"/>
      <c r="H400" s="9"/>
      <c r="I400" s="9" t="s">
        <v>17</v>
      </c>
      <c r="J400" s="9" t="s">
        <v>17</v>
      </c>
      <c r="K400" s="9" t="s">
        <v>17</v>
      </c>
      <c r="L400" s="9" t="s">
        <v>17</v>
      </c>
      <c r="M400" s="109" t="s">
        <v>17</v>
      </c>
      <c r="N400" s="19"/>
      <c r="O400" s="19"/>
      <c r="P400" s="19"/>
      <c r="Q400" s="19"/>
      <c r="R400" s="19"/>
      <c r="S400" s="19"/>
      <c r="T400" s="19"/>
      <c r="U400" s="19"/>
      <c r="V400" s="19"/>
      <c r="W400" s="19"/>
      <c r="X400" s="19"/>
      <c r="Y400" s="19"/>
      <c r="Z400" s="19"/>
      <c r="AA400" s="19"/>
      <c r="AB400" s="19"/>
      <c r="AC400" s="19"/>
      <c r="AD400" s="19"/>
      <c r="AE400" s="19"/>
      <c r="AF400" s="19"/>
      <c r="AG400" s="19"/>
    </row>
    <row r="401" spans="1:33" ht="35.1" customHeight="1">
      <c r="A401" s="10" t="s">
        <v>19</v>
      </c>
      <c r="B401" s="115">
        <v>3503</v>
      </c>
      <c r="C401" s="11"/>
      <c r="D401" s="12"/>
      <c r="E401" s="12"/>
      <c r="F401" s="12"/>
      <c r="G401" s="12"/>
      <c r="H401" s="12"/>
      <c r="I401" s="12"/>
      <c r="J401" s="12"/>
      <c r="K401" s="12"/>
      <c r="L401" s="12"/>
      <c r="M401" s="102" t="s">
        <v>17</v>
      </c>
      <c r="N401" s="12"/>
      <c r="O401" s="12"/>
      <c r="P401" s="12"/>
      <c r="Q401" s="12"/>
      <c r="R401" s="12"/>
      <c r="S401" s="12"/>
      <c r="T401" s="12"/>
      <c r="U401" s="12"/>
      <c r="V401" s="12"/>
      <c r="W401" s="12"/>
      <c r="X401" s="12"/>
      <c r="Y401" s="12"/>
      <c r="Z401" s="12"/>
      <c r="AA401" s="12"/>
      <c r="AB401" s="12"/>
      <c r="AC401" s="12"/>
      <c r="AD401" s="12"/>
      <c r="AE401" s="12"/>
      <c r="AF401" s="12"/>
      <c r="AG401" s="12"/>
    </row>
    <row r="402" spans="1:33" ht="35.1" customHeight="1">
      <c r="A402" s="101" t="s">
        <v>584</v>
      </c>
      <c r="B402" s="98"/>
      <c r="C402" s="18"/>
      <c r="D402" s="19"/>
      <c r="E402" s="19"/>
      <c r="F402" s="19"/>
      <c r="G402" s="19"/>
      <c r="H402" s="19"/>
      <c r="I402" s="19"/>
      <c r="J402" s="19"/>
      <c r="K402" s="19"/>
      <c r="L402" s="19"/>
      <c r="M402" s="104"/>
      <c r="N402" s="19"/>
      <c r="O402" s="19"/>
      <c r="P402" s="19"/>
      <c r="Q402" s="19"/>
      <c r="R402" s="19"/>
      <c r="S402" s="19"/>
      <c r="T402" s="19"/>
      <c r="U402" s="19"/>
      <c r="V402" s="19"/>
      <c r="W402" s="19"/>
      <c r="X402" s="19"/>
      <c r="Y402" s="19"/>
      <c r="Z402" s="19"/>
      <c r="AA402" s="19"/>
      <c r="AB402" s="19"/>
      <c r="AC402" s="19"/>
      <c r="AD402" s="19"/>
      <c r="AE402" s="19"/>
      <c r="AF402" s="19"/>
      <c r="AG402" s="19"/>
    </row>
    <row r="403" spans="1:33" ht="35.1" customHeight="1">
      <c r="A403" s="129" t="s">
        <v>585</v>
      </c>
      <c r="B403" s="96">
        <v>3600</v>
      </c>
      <c r="C403" s="9" t="s">
        <v>17</v>
      </c>
      <c r="D403" s="9" t="s">
        <v>17</v>
      </c>
      <c r="E403" s="9" t="s">
        <v>17</v>
      </c>
      <c r="F403" s="9"/>
      <c r="G403" s="9"/>
      <c r="H403" s="9"/>
      <c r="I403" s="9" t="s">
        <v>17</v>
      </c>
      <c r="J403" s="9" t="s">
        <v>17</v>
      </c>
      <c r="K403" s="9" t="s">
        <v>17</v>
      </c>
      <c r="L403" s="9" t="s">
        <v>17</v>
      </c>
      <c r="M403" s="97"/>
      <c r="N403" s="19">
        <f>O403+P403+Q403+R403</f>
        <v>0</v>
      </c>
      <c r="O403" s="19"/>
      <c r="P403" s="19"/>
      <c r="Q403" s="19"/>
      <c r="R403" s="19">
        <v>0</v>
      </c>
      <c r="S403" s="19">
        <f>T403+U403+V403+W403</f>
        <v>28852.9</v>
      </c>
      <c r="T403" s="19"/>
      <c r="U403" s="19"/>
      <c r="V403" s="19"/>
      <c r="W403" s="19">
        <f>34423.3-5570.4</f>
        <v>28852.9</v>
      </c>
      <c r="X403" s="19">
        <f>AB403</f>
        <v>119651.3</v>
      </c>
      <c r="Y403" s="19"/>
      <c r="Z403" s="19"/>
      <c r="AA403" s="19"/>
      <c r="AB403" s="19">
        <f>125783.3-6132</f>
        <v>119651.3</v>
      </c>
      <c r="AC403" s="19">
        <f>AG403</f>
        <v>119651.3</v>
      </c>
      <c r="AD403" s="19"/>
      <c r="AE403" s="19"/>
      <c r="AF403" s="19"/>
      <c r="AG403" s="19">
        <f>125783.3-6132</f>
        <v>119651.3</v>
      </c>
    </row>
    <row r="404" spans="1:33" ht="35.1" customHeight="1">
      <c r="A404" s="8" t="s">
        <v>586</v>
      </c>
      <c r="B404" s="96">
        <v>10600</v>
      </c>
      <c r="C404" s="9" t="s">
        <v>17</v>
      </c>
      <c r="D404" s="9" t="s">
        <v>17</v>
      </c>
      <c r="E404" s="9" t="s">
        <v>17</v>
      </c>
      <c r="F404" s="9"/>
      <c r="G404" s="9"/>
      <c r="H404" s="9"/>
      <c r="I404" s="9" t="s">
        <v>17</v>
      </c>
      <c r="J404" s="9" t="s">
        <v>17</v>
      </c>
      <c r="K404" s="9" t="s">
        <v>17</v>
      </c>
      <c r="L404" s="9" t="s">
        <v>17</v>
      </c>
      <c r="M404" s="102" t="s">
        <v>17</v>
      </c>
      <c r="N404" s="165">
        <f t="shared" ref="N404:AG404" si="162">N14+N197+N284+N314+N381</f>
        <v>2228345.2000000002</v>
      </c>
      <c r="O404" s="165">
        <f t="shared" si="162"/>
        <v>88326.89999999998</v>
      </c>
      <c r="P404" s="165">
        <f t="shared" si="162"/>
        <v>909351.5</v>
      </c>
      <c r="Q404" s="165">
        <f t="shared" si="162"/>
        <v>1300</v>
      </c>
      <c r="R404" s="165">
        <f t="shared" si="162"/>
        <v>1229366.8</v>
      </c>
      <c r="S404" s="165">
        <f t="shared" si="162"/>
        <v>1987777.4999999998</v>
      </c>
      <c r="T404" s="165">
        <f t="shared" si="162"/>
        <v>125056.49999999999</v>
      </c>
      <c r="U404" s="165">
        <f t="shared" si="162"/>
        <v>800673.2</v>
      </c>
      <c r="V404" s="165">
        <f t="shared" si="162"/>
        <v>1300</v>
      </c>
      <c r="W404" s="165">
        <f t="shared" si="162"/>
        <v>1060747.7999999998</v>
      </c>
      <c r="X404" s="165">
        <f t="shared" si="162"/>
        <v>1806656.4</v>
      </c>
      <c r="Y404" s="165">
        <f t="shared" si="162"/>
        <v>69342.399999999994</v>
      </c>
      <c r="Z404" s="165">
        <f t="shared" si="162"/>
        <v>676719.5</v>
      </c>
      <c r="AA404" s="165">
        <f t="shared" si="162"/>
        <v>1300</v>
      </c>
      <c r="AB404" s="165">
        <f t="shared" si="162"/>
        <v>1059294.4999999998</v>
      </c>
      <c r="AC404" s="165">
        <f t="shared" si="162"/>
        <v>1806656.4</v>
      </c>
      <c r="AD404" s="165">
        <f t="shared" si="162"/>
        <v>69342.399999999994</v>
      </c>
      <c r="AE404" s="165">
        <f t="shared" si="162"/>
        <v>676719.5</v>
      </c>
      <c r="AF404" s="165">
        <f t="shared" si="162"/>
        <v>1300</v>
      </c>
      <c r="AG404" s="165">
        <f t="shared" si="162"/>
        <v>1059294.4999999998</v>
      </c>
    </row>
    <row r="405" spans="1:33" ht="35.1" customHeight="1">
      <c r="A405" s="130" t="s">
        <v>587</v>
      </c>
      <c r="B405" s="110">
        <v>10700</v>
      </c>
      <c r="C405" s="131" t="s">
        <v>17</v>
      </c>
      <c r="D405" s="131" t="s">
        <v>17</v>
      </c>
      <c r="E405" s="131" t="s">
        <v>17</v>
      </c>
      <c r="F405" s="131"/>
      <c r="G405" s="131"/>
      <c r="H405" s="131"/>
      <c r="I405" s="131" t="s">
        <v>17</v>
      </c>
      <c r="J405" s="131" t="s">
        <v>17</v>
      </c>
      <c r="K405" s="131" t="s">
        <v>17</v>
      </c>
      <c r="L405" s="131" t="s">
        <v>17</v>
      </c>
      <c r="M405" s="248" t="s">
        <v>17</v>
      </c>
      <c r="N405" s="165">
        <f t="shared" ref="N405:AG405" si="163">N14+N197+N284+N314+N381+N398+N403</f>
        <v>2228345.2000000002</v>
      </c>
      <c r="O405" s="165">
        <f t="shared" si="163"/>
        <v>88326.89999999998</v>
      </c>
      <c r="P405" s="165">
        <f t="shared" si="163"/>
        <v>909351.5</v>
      </c>
      <c r="Q405" s="165">
        <f t="shared" si="163"/>
        <v>1300</v>
      </c>
      <c r="R405" s="165">
        <f t="shared" si="163"/>
        <v>1229366.8</v>
      </c>
      <c r="S405" s="165">
        <f t="shared" si="163"/>
        <v>2016630.3999999997</v>
      </c>
      <c r="T405" s="165">
        <f t="shared" si="163"/>
        <v>125056.49999999999</v>
      </c>
      <c r="U405" s="165">
        <f t="shared" si="163"/>
        <v>800673.2</v>
      </c>
      <c r="V405" s="165">
        <f t="shared" si="163"/>
        <v>1300</v>
      </c>
      <c r="W405" s="165">
        <f t="shared" si="163"/>
        <v>1089600.6999999997</v>
      </c>
      <c r="X405" s="165">
        <f t="shared" si="163"/>
        <v>1926307.7</v>
      </c>
      <c r="Y405" s="165">
        <f t="shared" si="163"/>
        <v>69342.399999999994</v>
      </c>
      <c r="Z405" s="165">
        <f t="shared" si="163"/>
        <v>676719.5</v>
      </c>
      <c r="AA405" s="165">
        <f t="shared" si="163"/>
        <v>1300</v>
      </c>
      <c r="AB405" s="165">
        <f t="shared" si="163"/>
        <v>1178945.7999999998</v>
      </c>
      <c r="AC405" s="165">
        <f t="shared" si="163"/>
        <v>1926307.7</v>
      </c>
      <c r="AD405" s="165">
        <f t="shared" si="163"/>
        <v>69342.399999999994</v>
      </c>
      <c r="AE405" s="165">
        <f t="shared" si="163"/>
        <v>676719.5</v>
      </c>
      <c r="AF405" s="165">
        <f t="shared" si="163"/>
        <v>1300</v>
      </c>
      <c r="AG405" s="165">
        <f t="shared" si="163"/>
        <v>1178945.7999999998</v>
      </c>
    </row>
    <row r="406" spans="1:33" ht="35.1" customHeight="1">
      <c r="A406" s="132"/>
      <c r="B406" s="105"/>
      <c r="C406" s="105"/>
      <c r="D406" s="105"/>
      <c r="E406" s="105"/>
      <c r="F406" s="105"/>
      <c r="G406" s="105"/>
      <c r="H406" s="105"/>
      <c r="I406" s="105"/>
      <c r="J406" s="105"/>
      <c r="K406" s="105"/>
      <c r="L406" s="105"/>
      <c r="M406" s="105"/>
      <c r="N406" s="174"/>
      <c r="O406" s="175"/>
      <c r="P406" s="175"/>
      <c r="Q406" s="175"/>
      <c r="R406" s="175"/>
      <c r="S406" s="175"/>
      <c r="T406" s="175"/>
      <c r="U406" s="175"/>
      <c r="V406" s="175"/>
      <c r="W406" s="175"/>
      <c r="X406" s="175"/>
      <c r="Y406" s="175"/>
      <c r="Z406" s="175"/>
      <c r="AA406" s="175"/>
      <c r="AB406" s="175"/>
      <c r="AC406" s="175"/>
      <c r="AD406" s="175"/>
      <c r="AE406" s="175"/>
      <c r="AF406" s="175"/>
      <c r="AG406" s="175"/>
    </row>
    <row r="407" spans="1:33" ht="35.1" customHeight="1">
      <c r="A407" s="133"/>
      <c r="B407" s="91"/>
      <c r="C407" s="91"/>
      <c r="D407" s="91"/>
      <c r="E407" s="91"/>
      <c r="F407" s="91"/>
      <c r="G407" s="91"/>
      <c r="H407" s="91"/>
      <c r="I407" s="91"/>
      <c r="J407" s="91"/>
      <c r="K407" s="91"/>
      <c r="L407" s="91"/>
      <c r="M407" s="91"/>
      <c r="N407" s="176"/>
      <c r="O407" s="238"/>
      <c r="P407" s="135"/>
      <c r="Q407" s="135"/>
      <c r="R407" s="135"/>
      <c r="S407" s="238"/>
      <c r="T407" s="238"/>
      <c r="U407" s="238"/>
      <c r="V407" s="175"/>
      <c r="W407" s="175"/>
      <c r="X407" s="175"/>
      <c r="Y407" s="175"/>
      <c r="Z407" s="175"/>
      <c r="AA407" s="175"/>
      <c r="AB407" s="175"/>
      <c r="AC407" s="175"/>
      <c r="AD407" s="175"/>
      <c r="AE407" s="175"/>
      <c r="AF407" s="175"/>
      <c r="AG407" s="175"/>
    </row>
    <row r="408" spans="1:33" ht="35.1" customHeight="1">
      <c r="A408" s="286"/>
      <c r="B408" s="287"/>
      <c r="C408" s="287"/>
      <c r="D408" s="287"/>
      <c r="E408" s="287"/>
      <c r="F408" s="287"/>
      <c r="G408" s="287"/>
      <c r="H408" s="287"/>
      <c r="I408" s="287"/>
      <c r="J408" s="287"/>
      <c r="K408" s="287"/>
      <c r="L408" s="91"/>
      <c r="M408" s="91"/>
      <c r="N408" s="239"/>
      <c r="O408" s="239"/>
      <c r="P408" s="240"/>
      <c r="Q408" s="241"/>
      <c r="R408" s="240"/>
      <c r="S408" s="239"/>
      <c r="T408" s="239"/>
      <c r="U408" s="239"/>
      <c r="V408" s="91"/>
      <c r="W408" s="91"/>
      <c r="X408" s="91"/>
      <c r="Y408" s="91"/>
      <c r="Z408" s="91"/>
      <c r="AA408" s="91"/>
      <c r="AB408" s="91"/>
      <c r="AC408" s="175"/>
      <c r="AD408" s="175"/>
      <c r="AE408" s="175"/>
      <c r="AF408" s="175"/>
      <c r="AG408" s="175"/>
    </row>
    <row r="409" spans="1:33" ht="35.1" customHeight="1">
      <c r="A409" s="134"/>
      <c r="B409" s="119"/>
      <c r="C409" s="135"/>
      <c r="D409" s="136"/>
      <c r="E409" s="136"/>
      <c r="F409" s="136"/>
      <c r="G409" s="136"/>
      <c r="H409" s="136"/>
      <c r="I409" s="136"/>
      <c r="J409" s="136"/>
      <c r="K409" s="136"/>
      <c r="L409" s="136"/>
      <c r="M409" s="91"/>
      <c r="N409" s="136"/>
      <c r="O409" s="136"/>
      <c r="P409" s="134"/>
      <c r="Q409" s="136"/>
      <c r="R409" s="134"/>
      <c r="S409" s="136"/>
      <c r="T409" s="136"/>
      <c r="U409" s="136"/>
      <c r="V409" s="136"/>
      <c r="W409" s="136"/>
      <c r="X409" s="136"/>
      <c r="Y409" s="135"/>
      <c r="Z409" s="136"/>
      <c r="AA409" s="136"/>
      <c r="AB409" s="136"/>
      <c r="AC409" s="136"/>
      <c r="AD409" s="136"/>
      <c r="AE409" s="136"/>
      <c r="AF409" s="136"/>
      <c r="AG409" s="136"/>
    </row>
    <row r="410" spans="1:33" ht="35.1" hidden="1" customHeight="1">
      <c r="A410" s="134"/>
      <c r="B410" s="206"/>
      <c r="C410" s="206"/>
      <c r="D410" s="206"/>
      <c r="E410" s="206"/>
      <c r="F410" s="206"/>
      <c r="G410" s="206"/>
      <c r="H410" s="206"/>
      <c r="I410" s="206"/>
      <c r="J410" s="206"/>
      <c r="K410" s="206"/>
      <c r="L410" s="206"/>
      <c r="M410" s="206"/>
      <c r="N410" s="206"/>
      <c r="O410" s="206"/>
      <c r="P410" s="206"/>
      <c r="Q410" s="206"/>
      <c r="R410" s="206"/>
      <c r="S410" s="206"/>
      <c r="T410" s="206"/>
      <c r="U410" s="136"/>
      <c r="V410" s="136"/>
      <c r="W410" s="136"/>
      <c r="X410" s="136"/>
      <c r="Y410" s="136"/>
      <c r="Z410" s="136"/>
      <c r="AA410" s="136"/>
      <c r="AB410" s="136"/>
      <c r="AC410" s="136"/>
      <c r="AD410" s="136"/>
      <c r="AE410" s="136"/>
      <c r="AF410" s="136"/>
      <c r="AG410" s="136"/>
    </row>
    <row r="411" spans="1:33" ht="35.1" hidden="1" customHeight="1">
      <c r="A411" s="136"/>
      <c r="B411" s="288"/>
      <c r="C411" s="288"/>
      <c r="D411" s="288"/>
      <c r="E411" s="137"/>
      <c r="F411" s="137"/>
      <c r="G411" s="138"/>
      <c r="H411" s="138"/>
      <c r="I411" s="138"/>
      <c r="J411" s="138"/>
      <c r="K411" s="138"/>
      <c r="L411" s="138"/>
      <c r="M411" s="136"/>
      <c r="N411" s="138">
        <f t="shared" ref="N411:AG411" si="164">N314+N381+N398</f>
        <v>663367.19999999995</v>
      </c>
      <c r="O411" s="138">
        <f t="shared" si="164"/>
        <v>11377.9</v>
      </c>
      <c r="P411" s="138">
        <f t="shared" si="164"/>
        <v>651989.29999999993</v>
      </c>
      <c r="Q411" s="138">
        <f t="shared" si="164"/>
        <v>0</v>
      </c>
      <c r="R411" s="138">
        <f t="shared" si="164"/>
        <v>0</v>
      </c>
      <c r="S411" s="138">
        <f t="shared" si="164"/>
        <v>659716.80000000005</v>
      </c>
      <c r="T411" s="138">
        <f t="shared" si="164"/>
        <v>11509.5</v>
      </c>
      <c r="U411" s="138">
        <f t="shared" si="164"/>
        <v>648207.30000000005</v>
      </c>
      <c r="V411" s="138">
        <f t="shared" si="164"/>
        <v>0</v>
      </c>
      <c r="W411" s="138">
        <f t="shared" si="164"/>
        <v>0</v>
      </c>
      <c r="X411" s="138">
        <f t="shared" si="164"/>
        <v>659820.30000000005</v>
      </c>
      <c r="Y411" s="138">
        <f t="shared" si="164"/>
        <v>12910.599999999999</v>
      </c>
      <c r="Z411" s="138">
        <f t="shared" si="164"/>
        <v>646909.69999999995</v>
      </c>
      <c r="AA411" s="138">
        <f t="shared" si="164"/>
        <v>0</v>
      </c>
      <c r="AB411" s="138">
        <f t="shared" si="164"/>
        <v>0</v>
      </c>
      <c r="AC411" s="138">
        <f t="shared" si="164"/>
        <v>659820.30000000005</v>
      </c>
      <c r="AD411" s="138">
        <f t="shared" si="164"/>
        <v>12910.599999999999</v>
      </c>
      <c r="AE411" s="138">
        <f t="shared" si="164"/>
        <v>646909.69999999995</v>
      </c>
      <c r="AF411" s="138">
        <f t="shared" si="164"/>
        <v>0</v>
      </c>
      <c r="AG411" s="138">
        <f t="shared" si="164"/>
        <v>0</v>
      </c>
    </row>
    <row r="412" spans="1:33" ht="35.1" hidden="1" customHeight="1">
      <c r="A412" s="136"/>
      <c r="B412" s="288"/>
      <c r="C412" s="288"/>
      <c r="D412" s="288"/>
      <c r="E412" s="288"/>
      <c r="F412" s="288"/>
      <c r="G412" s="288"/>
      <c r="H412" s="288"/>
      <c r="I412" s="288"/>
      <c r="J412" s="288"/>
      <c r="K412" s="288"/>
      <c r="L412" s="138"/>
      <c r="M412" s="138" t="s">
        <v>588</v>
      </c>
      <c r="N412" s="138">
        <f>N413-N411</f>
        <v>0</v>
      </c>
      <c r="O412" s="138"/>
      <c r="P412" s="138"/>
      <c r="Q412" s="138"/>
      <c r="R412" s="138"/>
      <c r="S412" s="138">
        <f>S413-S411</f>
        <v>0</v>
      </c>
      <c r="T412" s="138"/>
      <c r="U412" s="138"/>
      <c r="V412" s="138"/>
      <c r="W412" s="138"/>
      <c r="X412" s="138">
        <f>X413-X411</f>
        <v>0</v>
      </c>
      <c r="Y412" s="138"/>
      <c r="Z412" s="138"/>
      <c r="AA412" s="138"/>
      <c r="AB412" s="138"/>
      <c r="AC412" s="138">
        <f>AC413-AC411</f>
        <v>0</v>
      </c>
      <c r="AD412" s="138"/>
      <c r="AE412" s="138"/>
      <c r="AF412" s="138"/>
      <c r="AG412" s="138"/>
    </row>
    <row r="413" spans="1:33" ht="35.1" hidden="1" customHeight="1">
      <c r="A413" s="136"/>
      <c r="B413" s="119"/>
      <c r="C413" s="135"/>
      <c r="D413" s="119"/>
      <c r="E413" s="136"/>
      <c r="F413" s="136"/>
      <c r="G413" s="136"/>
      <c r="H413" s="136"/>
      <c r="I413" s="136"/>
      <c r="J413" s="136"/>
      <c r="K413" s="136"/>
      <c r="L413" s="136"/>
      <c r="M413" s="138" t="s">
        <v>589</v>
      </c>
      <c r="N413" s="136">
        <v>663367.19999999995</v>
      </c>
      <c r="O413" s="136"/>
      <c r="P413" s="136"/>
      <c r="Q413" s="136"/>
      <c r="R413" s="136"/>
      <c r="S413" s="136">
        <v>659716.80000000005</v>
      </c>
      <c r="T413" s="136"/>
      <c r="U413" s="136"/>
      <c r="V413" s="136"/>
      <c r="W413" s="136"/>
      <c r="X413" s="136">
        <v>659820.30000000005</v>
      </c>
      <c r="Y413" s="136"/>
      <c r="Z413" s="136"/>
      <c r="AA413" s="136"/>
      <c r="AB413" s="136"/>
      <c r="AC413" s="136">
        <v>659820.30000000005</v>
      </c>
      <c r="AD413" s="136"/>
      <c r="AE413" s="136"/>
      <c r="AF413" s="136"/>
      <c r="AG413" s="136"/>
    </row>
    <row r="414" spans="1:33" ht="35.1" hidden="1" customHeight="1">
      <c r="A414" s="136"/>
      <c r="B414" s="119"/>
      <c r="C414" s="135"/>
      <c r="D414" s="119"/>
      <c r="E414" s="136"/>
      <c r="F414" s="136"/>
      <c r="G414" s="136"/>
      <c r="H414" s="136"/>
      <c r="I414" s="136"/>
      <c r="J414" s="136"/>
      <c r="K414" s="136"/>
      <c r="L414" s="136"/>
      <c r="N414" s="135"/>
      <c r="O414" s="136"/>
      <c r="P414" s="136"/>
      <c r="Q414" s="136"/>
      <c r="R414" s="136"/>
      <c r="S414" s="135"/>
      <c r="T414" s="136"/>
      <c r="U414" s="136"/>
      <c r="V414" s="136"/>
      <c r="W414" s="136"/>
      <c r="X414" s="136"/>
      <c r="Y414" s="136"/>
      <c r="Z414" s="136"/>
      <c r="AA414" s="136"/>
      <c r="AB414" s="136"/>
      <c r="AC414" s="136"/>
      <c r="AD414" s="136"/>
      <c r="AE414" s="136"/>
      <c r="AF414" s="136"/>
      <c r="AG414" s="136"/>
    </row>
    <row r="415" spans="1:33" ht="35.1" hidden="1" customHeight="1">
      <c r="A415" s="177"/>
      <c r="B415" s="282"/>
      <c r="C415" s="283"/>
      <c r="D415" s="283"/>
      <c r="E415" s="283"/>
      <c r="F415" s="283"/>
      <c r="G415" s="283"/>
      <c r="H415" s="283"/>
      <c r="I415" s="283"/>
      <c r="J415" s="283"/>
      <c r="K415" s="283"/>
      <c r="L415" s="283"/>
      <c r="M415" s="249" t="s">
        <v>590</v>
      </c>
      <c r="N415" s="178">
        <f>N416-N405</f>
        <v>0</v>
      </c>
      <c r="O415" s="178"/>
      <c r="P415" s="178"/>
      <c r="Q415" s="178"/>
      <c r="R415" s="178"/>
      <c r="S415" s="178">
        <f>S416-S405</f>
        <v>0</v>
      </c>
      <c r="T415" s="178"/>
      <c r="U415" s="178"/>
      <c r="V415" s="178"/>
      <c r="W415" s="178"/>
      <c r="X415" s="178">
        <f>X416-X405</f>
        <v>0</v>
      </c>
      <c r="Y415" s="178"/>
      <c r="Z415" s="178"/>
      <c r="AA415" s="178"/>
      <c r="AB415" s="179"/>
      <c r="AC415" s="178">
        <f>AC416-AC405</f>
        <v>0</v>
      </c>
      <c r="AD415" s="178"/>
      <c r="AE415" s="178"/>
      <c r="AF415" s="178"/>
      <c r="AG415" s="180"/>
    </row>
    <row r="416" spans="1:33" ht="35.1" hidden="1" customHeight="1">
      <c r="A416" s="1"/>
      <c r="B416" s="5"/>
      <c r="C416" s="6"/>
      <c r="D416" s="5"/>
      <c r="E416" s="1"/>
      <c r="F416" s="1"/>
      <c r="G416" s="1"/>
      <c r="H416" s="1"/>
      <c r="I416" s="1"/>
      <c r="J416" s="1"/>
      <c r="K416" s="1"/>
      <c r="L416" s="1"/>
      <c r="M416" s="1" t="s">
        <v>591</v>
      </c>
      <c r="N416" s="181">
        <v>2228345.2000000002</v>
      </c>
      <c r="O416" s="20"/>
      <c r="P416" s="20"/>
      <c r="Q416" s="20"/>
      <c r="R416" s="20"/>
      <c r="S416" s="181">
        <v>2016630.4</v>
      </c>
      <c r="T416" s="20"/>
      <c r="U416" s="20"/>
      <c r="V416" s="20"/>
      <c r="W416" s="20"/>
      <c r="X416" s="181">
        <v>1926307.7</v>
      </c>
      <c r="Y416" s="20"/>
      <c r="Z416" s="20"/>
      <c r="AA416" s="20"/>
      <c r="AB416" s="20"/>
      <c r="AC416" s="181">
        <v>1926307.7</v>
      </c>
      <c r="AD416" s="20"/>
      <c r="AE416" s="20"/>
      <c r="AF416" s="20"/>
      <c r="AG416" s="20"/>
    </row>
    <row r="417" spans="1:33" ht="35.1" hidden="1" customHeight="1">
      <c r="A417" s="20"/>
      <c r="B417" s="20"/>
      <c r="C417" s="20"/>
      <c r="D417" s="20"/>
      <c r="E417" s="20"/>
      <c r="F417" s="20"/>
      <c r="G417" s="20"/>
      <c r="H417" s="20"/>
      <c r="I417" s="20"/>
      <c r="J417" s="20"/>
      <c r="K417" s="20"/>
      <c r="L417" s="20"/>
      <c r="N417" s="20">
        <v>2026</v>
      </c>
      <c r="O417" s="20"/>
      <c r="P417" s="20"/>
      <c r="Q417" s="20"/>
      <c r="R417" s="20"/>
      <c r="S417" s="20">
        <v>2027</v>
      </c>
      <c r="T417" s="20"/>
      <c r="U417" s="20"/>
      <c r="V417" s="20"/>
      <c r="W417" s="20"/>
      <c r="X417" s="20">
        <v>2028</v>
      </c>
      <c r="Y417" s="20"/>
      <c r="Z417" s="20"/>
      <c r="AA417" s="20"/>
      <c r="AB417" s="20"/>
      <c r="AC417" s="20">
        <v>2029</v>
      </c>
      <c r="AD417" s="20"/>
      <c r="AE417" s="20"/>
      <c r="AF417" s="20"/>
      <c r="AG417" s="20"/>
    </row>
    <row r="418" spans="1:33" ht="35.1" customHeight="1">
      <c r="A418" s="139"/>
      <c r="B418" s="139"/>
      <c r="C418" s="139"/>
      <c r="D418" s="139"/>
      <c r="E418" s="139"/>
      <c r="F418" s="139"/>
      <c r="G418" s="139"/>
      <c r="H418" s="139"/>
      <c r="I418" s="139"/>
      <c r="J418" s="139"/>
      <c r="K418" s="139"/>
      <c r="L418" s="139"/>
      <c r="M418" s="139"/>
      <c r="N418" s="139"/>
      <c r="O418" s="139"/>
      <c r="P418" s="139"/>
      <c r="Q418" s="139"/>
      <c r="R418" s="139"/>
      <c r="S418" s="139"/>
      <c r="T418" s="139"/>
      <c r="U418" s="139"/>
      <c r="V418" s="139"/>
      <c r="W418" s="139"/>
      <c r="X418" s="139"/>
      <c r="Y418" s="139"/>
      <c r="Z418" s="139"/>
      <c r="AA418" s="139"/>
      <c r="AB418" s="139"/>
      <c r="AC418" s="139"/>
      <c r="AD418" s="139"/>
      <c r="AE418" s="139"/>
      <c r="AF418" s="139"/>
      <c r="AG418" s="139"/>
    </row>
    <row r="419" spans="1:33" ht="35.1" customHeight="1">
      <c r="A419" s="139"/>
      <c r="B419" s="139"/>
      <c r="C419" s="139"/>
      <c r="D419" s="139"/>
      <c r="E419" s="139"/>
      <c r="F419" s="139"/>
      <c r="G419" s="139"/>
      <c r="H419" s="139"/>
      <c r="I419" s="139"/>
      <c r="J419" s="139"/>
      <c r="K419" s="139"/>
      <c r="L419" s="139"/>
      <c r="M419" s="136"/>
      <c r="N419" s="139"/>
      <c r="O419" s="139"/>
      <c r="P419" s="139"/>
      <c r="Q419" s="139"/>
      <c r="R419" s="139"/>
      <c r="S419" s="139"/>
      <c r="T419" s="139"/>
      <c r="U419" s="139"/>
      <c r="V419" s="139"/>
      <c r="W419" s="139"/>
      <c r="X419" s="139"/>
      <c r="Y419" s="139"/>
      <c r="Z419" s="139"/>
      <c r="AA419" s="139"/>
      <c r="AB419" s="139"/>
      <c r="AC419" s="139"/>
      <c r="AD419" s="139"/>
      <c r="AE419" s="139"/>
      <c r="AF419" s="139"/>
      <c r="AG419" s="139"/>
    </row>
    <row r="420" spans="1:33" ht="35.1" customHeight="1">
      <c r="A420" s="139"/>
      <c r="B420" s="139"/>
      <c r="C420" s="139"/>
      <c r="D420" s="139"/>
      <c r="E420" s="139"/>
      <c r="F420" s="139"/>
      <c r="G420" s="139"/>
      <c r="H420" s="139"/>
      <c r="I420" s="139"/>
      <c r="J420" s="139"/>
      <c r="K420" s="139"/>
      <c r="L420" s="139"/>
      <c r="M420" s="136"/>
      <c r="N420" s="139"/>
      <c r="O420" s="139"/>
      <c r="P420" s="139"/>
      <c r="Q420" s="139"/>
      <c r="R420" s="139"/>
      <c r="S420" s="139"/>
      <c r="T420" s="139"/>
      <c r="U420" s="139"/>
      <c r="V420" s="139"/>
      <c r="W420" s="139"/>
      <c r="X420" s="139"/>
      <c r="Y420" s="139"/>
      <c r="Z420" s="139"/>
      <c r="AA420" s="139"/>
      <c r="AB420" s="139"/>
      <c r="AC420" s="139"/>
      <c r="AD420" s="139"/>
      <c r="AE420" s="139"/>
      <c r="AF420" s="139"/>
      <c r="AG420" s="139"/>
    </row>
    <row r="421" spans="1:33" ht="35.1" customHeight="1">
      <c r="A421" s="139"/>
      <c r="B421" s="139"/>
      <c r="C421" s="139"/>
      <c r="D421" s="139"/>
      <c r="E421" s="139"/>
      <c r="F421" s="139"/>
      <c r="G421" s="139"/>
      <c r="H421" s="139"/>
      <c r="I421" s="139"/>
      <c r="J421" s="139"/>
      <c r="K421" s="139"/>
      <c r="L421" s="139"/>
      <c r="M421" s="136"/>
      <c r="N421" s="139"/>
      <c r="O421" s="139"/>
      <c r="P421" s="139"/>
      <c r="Q421" s="139"/>
      <c r="R421" s="139"/>
      <c r="S421" s="139"/>
      <c r="T421" s="139"/>
      <c r="U421" s="139"/>
      <c r="V421" s="139"/>
      <c r="W421" s="139"/>
      <c r="X421" s="139"/>
      <c r="Y421" s="139"/>
      <c r="Z421" s="139"/>
      <c r="AA421" s="139"/>
      <c r="AB421" s="139"/>
      <c r="AC421" s="139"/>
      <c r="AD421" s="139"/>
      <c r="AE421" s="139"/>
      <c r="AF421" s="139"/>
      <c r="AG421" s="139"/>
    </row>
    <row r="422" spans="1:33" ht="35.1" customHeight="1">
      <c r="A422" s="136"/>
      <c r="B422" s="136"/>
      <c r="C422" s="136"/>
      <c r="D422" s="136"/>
      <c r="E422" s="136"/>
      <c r="F422" s="136"/>
      <c r="G422" s="136"/>
      <c r="H422" s="136"/>
      <c r="I422" s="136"/>
      <c r="J422" s="136"/>
      <c r="K422" s="136"/>
      <c r="L422" s="182"/>
      <c r="M422" s="139"/>
      <c r="N422" s="136"/>
      <c r="O422" s="136"/>
      <c r="P422" s="136"/>
      <c r="Q422" s="136"/>
      <c r="R422" s="136"/>
      <c r="S422" s="136"/>
      <c r="T422" s="136"/>
      <c r="U422" s="136"/>
      <c r="V422" s="136"/>
      <c r="W422" s="136"/>
      <c r="X422" s="136"/>
      <c r="Y422" s="136"/>
      <c r="Z422" s="136"/>
      <c r="AA422" s="136"/>
      <c r="AB422" s="136"/>
      <c r="AC422" s="136"/>
      <c r="AD422" s="136"/>
      <c r="AE422" s="136"/>
      <c r="AF422" s="136"/>
      <c r="AG422" s="136"/>
    </row>
    <row r="423" spans="1:33" ht="35.1" customHeight="1">
      <c r="A423" s="136"/>
      <c r="B423" s="136"/>
      <c r="C423" s="136"/>
      <c r="D423" s="136"/>
      <c r="E423" s="136"/>
      <c r="F423" s="136"/>
      <c r="G423" s="136"/>
      <c r="H423" s="136"/>
      <c r="I423" s="136"/>
      <c r="J423" s="136"/>
      <c r="K423" s="136"/>
      <c r="L423" s="182"/>
      <c r="M423" s="250"/>
      <c r="N423" s="136"/>
      <c r="O423" s="136"/>
      <c r="P423" s="136"/>
      <c r="Q423" s="136"/>
      <c r="R423" s="136"/>
      <c r="S423" s="136"/>
      <c r="T423" s="136"/>
      <c r="U423" s="136"/>
      <c r="V423" s="136"/>
      <c r="W423" s="136"/>
      <c r="X423" s="136"/>
      <c r="Y423" s="136"/>
      <c r="Z423" s="136"/>
      <c r="AA423" s="136"/>
      <c r="AB423" s="136"/>
      <c r="AC423" s="136"/>
      <c r="AD423" s="136"/>
      <c r="AE423" s="136"/>
      <c r="AF423" s="136"/>
      <c r="AG423" s="136"/>
    </row>
    <row r="424" spans="1:33" ht="35.1" customHeight="1">
      <c r="A424" s="136"/>
      <c r="B424" s="136"/>
      <c r="C424" s="136"/>
      <c r="D424" s="136"/>
      <c r="E424" s="136"/>
      <c r="F424" s="136"/>
      <c r="G424" s="136"/>
      <c r="H424" s="136"/>
      <c r="I424" s="136"/>
      <c r="J424" s="136"/>
      <c r="K424" s="136"/>
      <c r="L424" s="182"/>
      <c r="M424" s="251"/>
      <c r="N424" s="136"/>
      <c r="O424" s="136"/>
      <c r="P424" s="136"/>
      <c r="Q424" s="136"/>
      <c r="R424" s="136"/>
      <c r="S424" s="136"/>
      <c r="T424" s="136"/>
      <c r="U424" s="136"/>
      <c r="V424" s="136"/>
      <c r="W424" s="136"/>
      <c r="X424" s="136"/>
      <c r="Y424" s="136"/>
      <c r="Z424" s="136"/>
      <c r="AA424" s="136"/>
      <c r="AB424" s="136"/>
      <c r="AC424" s="136"/>
      <c r="AD424" s="136"/>
      <c r="AE424" s="136"/>
      <c r="AF424" s="136"/>
      <c r="AG424" s="136"/>
    </row>
    <row r="425" spans="1:33" ht="35.1" customHeight="1">
      <c r="A425" s="136"/>
      <c r="B425" s="136"/>
      <c r="C425" s="136"/>
      <c r="D425" s="136"/>
      <c r="E425" s="136"/>
      <c r="F425" s="136"/>
      <c r="G425" s="136"/>
      <c r="H425" s="136"/>
      <c r="I425" s="136"/>
      <c r="J425" s="136"/>
      <c r="K425" s="136"/>
      <c r="L425" s="136"/>
      <c r="M425" s="182"/>
      <c r="N425" s="136"/>
      <c r="O425" s="136"/>
      <c r="P425" s="136"/>
      <c r="Q425" s="136"/>
      <c r="R425" s="136"/>
      <c r="S425" s="136"/>
      <c r="T425" s="136"/>
      <c r="U425" s="136"/>
      <c r="V425" s="136"/>
      <c r="W425" s="136"/>
      <c r="X425" s="136"/>
      <c r="Y425" s="136"/>
      <c r="Z425" s="136"/>
      <c r="AA425" s="136"/>
      <c r="AB425" s="136"/>
      <c r="AC425" s="136"/>
      <c r="AD425" s="136"/>
      <c r="AE425" s="136"/>
      <c r="AF425" s="136"/>
      <c r="AG425" s="136"/>
    </row>
    <row r="426" spans="1:33" ht="35.1" customHeight="1">
      <c r="A426" s="1"/>
      <c r="B426" s="1"/>
      <c r="C426" s="1"/>
      <c r="D426" s="1"/>
      <c r="E426" s="1"/>
      <c r="F426" s="1"/>
      <c r="G426" s="1"/>
      <c r="H426" s="1"/>
      <c r="I426" s="1"/>
      <c r="J426" s="1"/>
      <c r="K426" s="1"/>
      <c r="L426" s="1"/>
    </row>
    <row r="427" spans="1:33" ht="35.1" customHeight="1">
      <c r="A427" s="1"/>
      <c r="B427" s="1"/>
      <c r="C427" s="1"/>
      <c r="D427" s="1"/>
      <c r="E427" s="1"/>
      <c r="F427" s="1"/>
      <c r="G427" s="1"/>
      <c r="H427" s="1"/>
      <c r="I427" s="1"/>
      <c r="J427" s="1"/>
      <c r="K427" s="1"/>
      <c r="L427" s="1"/>
    </row>
    <row r="428" spans="1:33" ht="35.1" customHeight="1">
      <c r="A428" s="1"/>
      <c r="B428" s="1"/>
      <c r="C428" s="1"/>
      <c r="D428" s="1"/>
      <c r="E428" s="1"/>
      <c r="F428" s="1"/>
      <c r="G428" s="1"/>
      <c r="H428" s="1"/>
      <c r="I428" s="1"/>
      <c r="J428" s="1"/>
      <c r="K428" s="1"/>
      <c r="L428" s="1"/>
    </row>
  </sheetData>
  <mergeCells count="63">
    <mergeCell ref="M4:M11"/>
    <mergeCell ref="W6:W8"/>
    <mergeCell ref="X4:AG4"/>
    <mergeCell ref="X5:AG5"/>
    <mergeCell ref="X6:AB7"/>
    <mergeCell ref="AC6:AG7"/>
    <mergeCell ref="X8:X11"/>
    <mergeCell ref="Y8:Y11"/>
    <mergeCell ref="Z8:Z11"/>
    <mergeCell ref="AA8:AA11"/>
    <mergeCell ref="AB8:AB11"/>
    <mergeCell ref="AC8:AC11"/>
    <mergeCell ref="AD8:AD11"/>
    <mergeCell ref="AE8:AE11"/>
    <mergeCell ref="AF8:AF11"/>
    <mergeCell ref="AG8:AG11"/>
    <mergeCell ref="Q2:W2"/>
    <mergeCell ref="N6:N9"/>
    <mergeCell ref="O6:O8"/>
    <mergeCell ref="P6:P8"/>
    <mergeCell ref="Q6:Q10"/>
    <mergeCell ref="R6:R8"/>
    <mergeCell ref="S6:S9"/>
    <mergeCell ref="T6:T8"/>
    <mergeCell ref="U6:U8"/>
    <mergeCell ref="V6:V11"/>
    <mergeCell ref="B415:L415"/>
    <mergeCell ref="I175:I178"/>
    <mergeCell ref="J175:J178"/>
    <mergeCell ref="K175:K178"/>
    <mergeCell ref="C377:C378"/>
    <mergeCell ref="A408:K408"/>
    <mergeCell ref="B411:D411"/>
    <mergeCell ref="B412:K412"/>
    <mergeCell ref="C260:C268"/>
    <mergeCell ref="I19:I27"/>
    <mergeCell ref="J19:J27"/>
    <mergeCell ref="K19:K27"/>
    <mergeCell ref="K171:K173"/>
    <mergeCell ref="C157:C158"/>
    <mergeCell ref="D157:D158"/>
    <mergeCell ref="E157:E158"/>
    <mergeCell ref="F157:F158"/>
    <mergeCell ref="G157:G158"/>
    <mergeCell ref="H157:H158"/>
    <mergeCell ref="I171:I173"/>
    <mergeCell ref="J171:J173"/>
    <mergeCell ref="K6:K11"/>
    <mergeCell ref="A4:A11"/>
    <mergeCell ref="B4:B11"/>
    <mergeCell ref="C4:K4"/>
    <mergeCell ref="L4:L11"/>
    <mergeCell ref="C5:E5"/>
    <mergeCell ref="F5:H5"/>
    <mergeCell ref="I5:K5"/>
    <mergeCell ref="C6:C11"/>
    <mergeCell ref="D6:D11"/>
    <mergeCell ref="E6:E11"/>
    <mergeCell ref="F6:F11"/>
    <mergeCell ref="G6:G11"/>
    <mergeCell ref="H6:H11"/>
    <mergeCell ref="I6:I11"/>
    <mergeCell ref="J6:J11"/>
  </mergeCells>
  <hyperlinks>
    <hyperlink ref="C97" r:id="rId1" display="https://internet.garant.ru/document/redirect/74944009/0"/>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рро на 01.03.26 </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2026-05-13T02:46:21Z</dcterms:modified>
</cp:coreProperties>
</file>