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5120" windowHeight="8010"/>
  </bookViews>
  <sheets>
    <sheet name="01.01.2026 " sheetId="3" r:id="rId1"/>
    <sheet name="Лист1" sheetId="4" r:id="rId2"/>
  </sheets>
  <calcPr calcId="125725"/>
</workbook>
</file>

<file path=xl/calcChain.xml><?xml version="1.0" encoding="utf-8"?>
<calcChain xmlns="http://schemas.openxmlformats.org/spreadsheetml/2006/main">
  <c r="P389" i="3"/>
  <c r="R389"/>
  <c r="T389"/>
  <c r="V389"/>
  <c r="X389"/>
  <c r="Y389"/>
  <c r="Z389"/>
  <c r="AA389"/>
  <c r="AB389"/>
  <c r="AC389"/>
  <c r="AD389"/>
  <c r="AE389"/>
  <c r="AF389"/>
  <c r="AG389"/>
  <c r="AI389"/>
  <c r="AJ389"/>
  <c r="AK389"/>
  <c r="AL389"/>
  <c r="AN389"/>
  <c r="AO389"/>
  <c r="AP389"/>
  <c r="AQ389"/>
  <c r="N390"/>
  <c r="N389" s="1"/>
  <c r="X390"/>
  <c r="AC390"/>
  <c r="AH390"/>
  <c r="AH389" s="1"/>
  <c r="AM390"/>
  <c r="AM389" s="1"/>
  <c r="P334"/>
  <c r="Q334"/>
  <c r="R334"/>
  <c r="S334"/>
  <c r="T334"/>
  <c r="U334"/>
  <c r="W334"/>
  <c r="Y334"/>
  <c r="Z334"/>
  <c r="AA334"/>
  <c r="AB334"/>
  <c r="AD334"/>
  <c r="AE334"/>
  <c r="AF334"/>
  <c r="AG334"/>
  <c r="AI334"/>
  <c r="AJ334"/>
  <c r="AK334"/>
  <c r="AL334"/>
  <c r="AN334"/>
  <c r="AO334"/>
  <c r="AP334"/>
  <c r="AQ334"/>
  <c r="P192"/>
  <c r="Q192"/>
  <c r="S192"/>
  <c r="T192"/>
  <c r="U192"/>
  <c r="V192"/>
  <c r="W192"/>
  <c r="Y192"/>
  <c r="Z192"/>
  <c r="AA192"/>
  <c r="AB192"/>
  <c r="AD192"/>
  <c r="AE192"/>
  <c r="AF192"/>
  <c r="AG192"/>
  <c r="AI192"/>
  <c r="AJ192"/>
  <c r="AK192"/>
  <c r="AL192"/>
  <c r="AN192"/>
  <c r="AO192"/>
  <c r="AP192"/>
  <c r="AQ192"/>
  <c r="O158"/>
  <c r="Y153"/>
  <c r="Z153"/>
  <c r="AA153"/>
  <c r="AB153"/>
  <c r="AD153"/>
  <c r="AE153"/>
  <c r="AF153"/>
  <c r="AG153"/>
  <c r="AI153"/>
  <c r="AJ153"/>
  <c r="AK153"/>
  <c r="AL153"/>
  <c r="AN153"/>
  <c r="AO153"/>
  <c r="AP153"/>
  <c r="AQ153"/>
  <c r="P153"/>
  <c r="Q153"/>
  <c r="S153"/>
  <c r="T153"/>
  <c r="U153"/>
  <c r="W153"/>
  <c r="O120"/>
  <c r="N120"/>
  <c r="O119"/>
  <c r="N119"/>
  <c r="Q51"/>
  <c r="S51"/>
  <c r="T51"/>
  <c r="U51"/>
  <c r="W51"/>
  <c r="Y51"/>
  <c r="Z51"/>
  <c r="AA51"/>
  <c r="AB51"/>
  <c r="AD51"/>
  <c r="AE51"/>
  <c r="AF51"/>
  <c r="AG51"/>
  <c r="AI51"/>
  <c r="AJ51"/>
  <c r="AK51"/>
  <c r="AN51"/>
  <c r="AO51"/>
  <c r="AP51"/>
  <c r="P294"/>
  <c r="Q294"/>
  <c r="R294"/>
  <c r="S294"/>
  <c r="T294"/>
  <c r="U294"/>
  <c r="W294"/>
  <c r="Y294"/>
  <c r="Z294"/>
  <c r="AA294"/>
  <c r="AB294"/>
  <c r="AD294"/>
  <c r="AE294"/>
  <c r="AF294"/>
  <c r="AG294"/>
  <c r="AI294"/>
  <c r="AJ294"/>
  <c r="AK294"/>
  <c r="AL294"/>
  <c r="AN294"/>
  <c r="AO294"/>
  <c r="AP294"/>
  <c r="AQ294"/>
  <c r="P358"/>
  <c r="Q358"/>
  <c r="S358"/>
  <c r="T358"/>
  <c r="U358"/>
  <c r="V358"/>
  <c r="W358"/>
  <c r="Y358"/>
  <c r="Z358"/>
  <c r="AA358"/>
  <c r="AB358"/>
  <c r="AD358"/>
  <c r="AE358"/>
  <c r="AF358"/>
  <c r="AG358"/>
  <c r="AI358"/>
  <c r="AJ358"/>
  <c r="AK358"/>
  <c r="AL358"/>
  <c r="AN358"/>
  <c r="AO358"/>
  <c r="AP358"/>
  <c r="AQ358"/>
  <c r="P326"/>
  <c r="Q326"/>
  <c r="R326"/>
  <c r="S326"/>
  <c r="T326"/>
  <c r="U326"/>
  <c r="V326"/>
  <c r="W326"/>
  <c r="Y326"/>
  <c r="Z326"/>
  <c r="AA326"/>
  <c r="AB326"/>
  <c r="AD326"/>
  <c r="AE326"/>
  <c r="AF326"/>
  <c r="AG326"/>
  <c r="AI326"/>
  <c r="AJ326"/>
  <c r="AK326"/>
  <c r="AL326"/>
  <c r="AN326"/>
  <c r="AO326"/>
  <c r="AP326"/>
  <c r="AQ326"/>
  <c r="P305"/>
  <c r="Q305"/>
  <c r="R305"/>
  <c r="S305"/>
  <c r="T305"/>
  <c r="U305"/>
  <c r="V305"/>
  <c r="W305"/>
  <c r="Y305"/>
  <c r="Z305"/>
  <c r="AA305"/>
  <c r="AB305"/>
  <c r="AC305"/>
  <c r="AD305"/>
  <c r="AE305"/>
  <c r="AF305"/>
  <c r="AG305"/>
  <c r="AH305"/>
  <c r="AI305"/>
  <c r="AJ305"/>
  <c r="AK305"/>
  <c r="AL305"/>
  <c r="AM305"/>
  <c r="AN305"/>
  <c r="AO305"/>
  <c r="AP305"/>
  <c r="AQ305"/>
  <c r="P174"/>
  <c r="Q174"/>
  <c r="S174"/>
  <c r="T174"/>
  <c r="U174"/>
  <c r="W174"/>
  <c r="Y174"/>
  <c r="Z174"/>
  <c r="AA174"/>
  <c r="AB174"/>
  <c r="AD174"/>
  <c r="AE174"/>
  <c r="AF174"/>
  <c r="AG174"/>
  <c r="AI174"/>
  <c r="AJ174"/>
  <c r="AK174"/>
  <c r="AL174"/>
  <c r="AN174"/>
  <c r="AO174"/>
  <c r="AP174"/>
  <c r="AQ174"/>
  <c r="Y118"/>
  <c r="Z118"/>
  <c r="AA118"/>
  <c r="AB118"/>
  <c r="AD118"/>
  <c r="AE118"/>
  <c r="AF118"/>
  <c r="AG118"/>
  <c r="AI118"/>
  <c r="AJ118"/>
  <c r="AK118"/>
  <c r="AL118"/>
  <c r="AN118"/>
  <c r="AO118"/>
  <c r="AP118"/>
  <c r="AQ118"/>
  <c r="Q94"/>
  <c r="S94"/>
  <c r="T94"/>
  <c r="U94"/>
  <c r="W94"/>
  <c r="Y94"/>
  <c r="Z94"/>
  <c r="AA94"/>
  <c r="AD94"/>
  <c r="AE94"/>
  <c r="AF94"/>
  <c r="AI94"/>
  <c r="AJ94"/>
  <c r="AK94"/>
  <c r="AN94"/>
  <c r="AO94"/>
  <c r="AP94"/>
  <c r="AD77"/>
  <c r="AE77"/>
  <c r="AF77"/>
  <c r="AI77"/>
  <c r="AJ77"/>
  <c r="AK77"/>
  <c r="AN77"/>
  <c r="AO77"/>
  <c r="AP77"/>
  <c r="P77"/>
  <c r="Q77"/>
  <c r="R77"/>
  <c r="S77"/>
  <c r="T77"/>
  <c r="U77"/>
  <c r="W77"/>
  <c r="Y77"/>
  <c r="Z77"/>
  <c r="AA77"/>
  <c r="N78" l="1"/>
  <c r="P40"/>
  <c r="Q40"/>
  <c r="S40"/>
  <c r="T40"/>
  <c r="U40"/>
  <c r="W40"/>
  <c r="Y40"/>
  <c r="Z40"/>
  <c r="AA40"/>
  <c r="AB40"/>
  <c r="AD40"/>
  <c r="AE40"/>
  <c r="AF40"/>
  <c r="AG40"/>
  <c r="AI40"/>
  <c r="AJ40"/>
  <c r="AK40"/>
  <c r="AL40"/>
  <c r="AN40"/>
  <c r="AO40"/>
  <c r="AP40"/>
  <c r="AQ40"/>
  <c r="P29"/>
  <c r="Q29"/>
  <c r="R29"/>
  <c r="S29"/>
  <c r="T29"/>
  <c r="U29"/>
  <c r="W29"/>
  <c r="Y29"/>
  <c r="Z29"/>
  <c r="AA29"/>
  <c r="AB29"/>
  <c r="AD29"/>
  <c r="AE29"/>
  <c r="AF29"/>
  <c r="AG29"/>
  <c r="AI29"/>
  <c r="AJ29"/>
  <c r="AK29"/>
  <c r="AL29"/>
  <c r="AN29"/>
  <c r="AO29"/>
  <c r="AP29"/>
  <c r="AQ29"/>
  <c r="P73"/>
  <c r="Q73"/>
  <c r="R73"/>
  <c r="S73"/>
  <c r="T73"/>
  <c r="U73"/>
  <c r="V73"/>
  <c r="W73"/>
  <c r="Y73"/>
  <c r="Z73"/>
  <c r="AA73"/>
  <c r="AB73"/>
  <c r="AD73"/>
  <c r="AE73"/>
  <c r="AF73"/>
  <c r="AG73"/>
  <c r="AI73"/>
  <c r="AJ73"/>
  <c r="AK73"/>
  <c r="AL73"/>
  <c r="AN73"/>
  <c r="AO73"/>
  <c r="AP73"/>
  <c r="AQ73"/>
  <c r="AM441"/>
  <c r="AH441"/>
  <c r="AM435"/>
  <c r="AH435"/>
  <c r="AM434"/>
  <c r="AH434"/>
  <c r="AM433"/>
  <c r="AH433"/>
  <c r="AQ432"/>
  <c r="AP432"/>
  <c r="AO432"/>
  <c r="AN432"/>
  <c r="AL432"/>
  <c r="AK432"/>
  <c r="AJ432"/>
  <c r="AI432"/>
  <c r="AM431"/>
  <c r="AH431"/>
  <c r="AM430"/>
  <c r="AH430"/>
  <c r="AM429"/>
  <c r="AH429"/>
  <c r="AM428"/>
  <c r="AH428"/>
  <c r="AQ427"/>
  <c r="AP427"/>
  <c r="AO427"/>
  <c r="AN427"/>
  <c r="AL427"/>
  <c r="AK427"/>
  <c r="AJ427"/>
  <c r="AI427"/>
  <c r="AM426"/>
  <c r="AH426"/>
  <c r="AM425"/>
  <c r="AH425"/>
  <c r="AM424"/>
  <c r="AH424"/>
  <c r="AM423"/>
  <c r="AH423"/>
  <c r="AM422"/>
  <c r="AH422"/>
  <c r="AQ421"/>
  <c r="AP421"/>
  <c r="AO421"/>
  <c r="AN421"/>
  <c r="AL421"/>
  <c r="AK421"/>
  <c r="AJ421"/>
  <c r="AI421"/>
  <c r="AM411"/>
  <c r="AH411"/>
  <c r="AM410"/>
  <c r="AH410"/>
  <c r="AQ409"/>
  <c r="AP409"/>
  <c r="AO409"/>
  <c r="AN409"/>
  <c r="AL409"/>
  <c r="AK409"/>
  <c r="AJ409"/>
  <c r="AI409"/>
  <c r="AM407"/>
  <c r="AM406" s="1"/>
  <c r="AH407"/>
  <c r="AH406" s="1"/>
  <c r="AQ406"/>
  <c r="AP406"/>
  <c r="AO406"/>
  <c r="AN406"/>
  <c r="AL406"/>
  <c r="AK406"/>
  <c r="AJ406"/>
  <c r="AI406"/>
  <c r="AM405"/>
  <c r="AH405"/>
  <c r="AM404"/>
  <c r="AH404"/>
  <c r="AM403"/>
  <c r="AH403"/>
  <c r="AM402"/>
  <c r="AH402"/>
  <c r="AM401"/>
  <c r="AH401"/>
  <c r="AQ400"/>
  <c r="AP400"/>
  <c r="AO400"/>
  <c r="AN400"/>
  <c r="AL400"/>
  <c r="AK400"/>
  <c r="AJ400"/>
  <c r="AI400"/>
  <c r="AM399"/>
  <c r="AH399"/>
  <c r="AM398"/>
  <c r="AH398"/>
  <c r="AM397"/>
  <c r="AH397"/>
  <c r="AM396"/>
  <c r="AH396"/>
  <c r="AQ395"/>
  <c r="AP395"/>
  <c r="AO395"/>
  <c r="AN395"/>
  <c r="AL395"/>
  <c r="AK395"/>
  <c r="AJ395"/>
  <c r="AI395"/>
  <c r="AM394"/>
  <c r="AH394"/>
  <c r="AM393"/>
  <c r="AH393"/>
  <c r="AM392"/>
  <c r="AH392"/>
  <c r="AQ391"/>
  <c r="AP391"/>
  <c r="AO391"/>
  <c r="AN391"/>
  <c r="AL391"/>
  <c r="AK391"/>
  <c r="AJ391"/>
  <c r="AI391"/>
  <c r="AM388"/>
  <c r="AH388"/>
  <c r="AM387"/>
  <c r="AH387"/>
  <c r="AQ386"/>
  <c r="AP386"/>
  <c r="AO386"/>
  <c r="AN386"/>
  <c r="AL386"/>
  <c r="AK386"/>
  <c r="AJ386"/>
  <c r="AI386"/>
  <c r="AM385"/>
  <c r="AH385"/>
  <c r="AM384"/>
  <c r="AH384"/>
  <c r="AM383"/>
  <c r="AH383"/>
  <c r="AM382"/>
  <c r="AH382"/>
  <c r="AM381"/>
  <c r="AH381"/>
  <c r="AM380"/>
  <c r="AH380"/>
  <c r="AM379"/>
  <c r="AH379"/>
  <c r="AM378"/>
  <c r="AH378"/>
  <c r="AM377"/>
  <c r="AH377"/>
  <c r="AQ376"/>
  <c r="AP376"/>
  <c r="AO376"/>
  <c r="AN376"/>
  <c r="AL376"/>
  <c r="AK376"/>
  <c r="AJ376"/>
  <c r="AI376"/>
  <c r="AM375"/>
  <c r="AH375"/>
  <c r="AM374"/>
  <c r="AH374"/>
  <c r="AM373"/>
  <c r="AH373"/>
  <c r="AM372"/>
  <c r="AH372"/>
  <c r="AM371"/>
  <c r="AH371"/>
  <c r="AM370"/>
  <c r="AH370"/>
  <c r="AM369"/>
  <c r="AH369"/>
  <c r="AM368"/>
  <c r="AH368"/>
  <c r="AM367"/>
  <c r="AH367"/>
  <c r="AM366"/>
  <c r="AH366"/>
  <c r="AM365"/>
  <c r="AH365"/>
  <c r="AM364"/>
  <c r="AH364"/>
  <c r="AM363"/>
  <c r="AH363"/>
  <c r="AM362"/>
  <c r="AH362"/>
  <c r="AM361"/>
  <c r="AH361"/>
  <c r="AM360"/>
  <c r="AH360"/>
  <c r="AM359"/>
  <c r="AH359"/>
  <c r="AM352"/>
  <c r="AH352"/>
  <c r="AM351"/>
  <c r="AH351"/>
  <c r="AM350"/>
  <c r="AH350"/>
  <c r="AQ349"/>
  <c r="AP349"/>
  <c r="AO349"/>
  <c r="AN349"/>
  <c r="AL349"/>
  <c r="AK349"/>
  <c r="AJ349"/>
  <c r="AI349"/>
  <c r="AM348"/>
  <c r="AM347" s="1"/>
  <c r="AH348"/>
  <c r="AH347" s="1"/>
  <c r="AQ347"/>
  <c r="AP347"/>
  <c r="AO347"/>
  <c r="AN347"/>
  <c r="AL347"/>
  <c r="AK347"/>
  <c r="AJ347"/>
  <c r="AI347"/>
  <c r="AM338"/>
  <c r="AH338"/>
  <c r="AM337"/>
  <c r="AH337"/>
  <c r="AM336"/>
  <c r="AH336"/>
  <c r="AM335"/>
  <c r="AH335"/>
  <c r="AP332"/>
  <c r="AO332"/>
  <c r="AN332"/>
  <c r="AL332"/>
  <c r="AK332"/>
  <c r="AJ332"/>
  <c r="AI332"/>
  <c r="AQ332"/>
  <c r="AM327"/>
  <c r="AM326" s="1"/>
  <c r="AH327"/>
  <c r="AH326" s="1"/>
  <c r="AP322"/>
  <c r="AM320"/>
  <c r="AH320"/>
  <c r="AM319"/>
  <c r="AH319"/>
  <c r="AM318"/>
  <c r="AH318"/>
  <c r="AM317"/>
  <c r="AH317"/>
  <c r="AM316"/>
  <c r="AH316"/>
  <c r="AM315"/>
  <c r="AH315"/>
  <c r="AQ314"/>
  <c r="AP314"/>
  <c r="AO314"/>
  <c r="AN314"/>
  <c r="AL314"/>
  <c r="AK314"/>
  <c r="AJ314"/>
  <c r="AI314"/>
  <c r="AM313"/>
  <c r="AH313"/>
  <c r="AM312"/>
  <c r="AH312"/>
  <c r="AQ311"/>
  <c r="AP311"/>
  <c r="AO311"/>
  <c r="AN311"/>
  <c r="AL311"/>
  <c r="AK311"/>
  <c r="AJ311"/>
  <c r="AI311"/>
  <c r="AM310"/>
  <c r="AH310"/>
  <c r="AM309"/>
  <c r="AH309"/>
  <c r="AQ308"/>
  <c r="AP308"/>
  <c r="AO308"/>
  <c r="AN308"/>
  <c r="AL308"/>
  <c r="AK308"/>
  <c r="AJ308"/>
  <c r="AI308"/>
  <c r="AM304"/>
  <c r="AH304"/>
  <c r="AM302"/>
  <c r="AH302"/>
  <c r="AM301"/>
  <c r="AH301"/>
  <c r="AM300"/>
  <c r="AH300"/>
  <c r="AM299"/>
  <c r="AH299"/>
  <c r="AM298"/>
  <c r="AH298"/>
  <c r="AM297"/>
  <c r="AH297"/>
  <c r="AM296"/>
  <c r="AH296"/>
  <c r="AM295"/>
  <c r="AH295"/>
  <c r="AQ292"/>
  <c r="AP292"/>
  <c r="AO292"/>
  <c r="AN292"/>
  <c r="AM292"/>
  <c r="AL292"/>
  <c r="AK292"/>
  <c r="AJ292"/>
  <c r="AI292"/>
  <c r="AH292"/>
  <c r="AM290"/>
  <c r="AH290"/>
  <c r="AM289"/>
  <c r="AH289"/>
  <c r="AM287"/>
  <c r="AH287"/>
  <c r="AM285"/>
  <c r="AH285"/>
  <c r="AM283"/>
  <c r="AH283"/>
  <c r="AM282"/>
  <c r="AH282"/>
  <c r="AM280"/>
  <c r="AH280"/>
  <c r="AM278"/>
  <c r="AH278"/>
  <c r="AM277"/>
  <c r="AH277"/>
  <c r="AM276"/>
  <c r="AH276"/>
  <c r="AM275"/>
  <c r="AH275"/>
  <c r="AM271"/>
  <c r="AH271"/>
  <c r="AM270"/>
  <c r="AH270"/>
  <c r="AM269"/>
  <c r="AH269"/>
  <c r="AQ268"/>
  <c r="AP268"/>
  <c r="AO268"/>
  <c r="AN268"/>
  <c r="AL268"/>
  <c r="AK268"/>
  <c r="AJ268"/>
  <c r="AI268"/>
  <c r="AM267"/>
  <c r="AH267"/>
  <c r="AM265"/>
  <c r="AH265"/>
  <c r="AM264"/>
  <c r="AH264"/>
  <c r="AM261"/>
  <c r="AH261"/>
  <c r="AM260"/>
  <c r="AH260"/>
  <c r="AM259"/>
  <c r="AH259"/>
  <c r="AM258"/>
  <c r="AH258"/>
  <c r="AM256"/>
  <c r="AH256"/>
  <c r="AM255"/>
  <c r="AH255"/>
  <c r="AM254"/>
  <c r="AH254"/>
  <c r="AM252"/>
  <c r="AH252"/>
  <c r="AM251"/>
  <c r="AH251"/>
  <c r="AM250"/>
  <c r="AH250"/>
  <c r="AM249"/>
  <c r="AH249"/>
  <c r="AM248"/>
  <c r="AH248"/>
  <c r="AM247"/>
  <c r="AH247"/>
  <c r="AM246"/>
  <c r="AH246"/>
  <c r="AM245"/>
  <c r="AH245"/>
  <c r="AM244"/>
  <c r="AH244"/>
  <c r="AM243"/>
  <c r="AH243"/>
  <c r="AM242"/>
  <c r="AH242"/>
  <c r="AM241"/>
  <c r="AH241"/>
  <c r="AM240"/>
  <c r="AH240"/>
  <c r="AM239"/>
  <c r="AH239"/>
  <c r="AM238"/>
  <c r="AH238"/>
  <c r="AM237"/>
  <c r="AH237"/>
  <c r="AM236"/>
  <c r="AH236"/>
  <c r="AM235"/>
  <c r="AH235"/>
  <c r="AM234"/>
  <c r="AH234"/>
  <c r="AM233"/>
  <c r="AH233"/>
  <c r="AM232"/>
  <c r="AH232"/>
  <c r="AQ231"/>
  <c r="AP231"/>
  <c r="AO231"/>
  <c r="AN231"/>
  <c r="AL231"/>
  <c r="AK231"/>
  <c r="AJ231"/>
  <c r="AI231"/>
  <c r="AM227"/>
  <c r="AM226" s="1"/>
  <c r="AH227"/>
  <c r="AH226" s="1"/>
  <c r="AQ226"/>
  <c r="AP226"/>
  <c r="AO226"/>
  <c r="AN226"/>
  <c r="AL226"/>
  <c r="AK226"/>
  <c r="AJ226"/>
  <c r="AI226"/>
  <c r="AM225"/>
  <c r="AH225"/>
  <c r="AM224"/>
  <c r="AH224"/>
  <c r="AM223"/>
  <c r="AH223"/>
  <c r="AM222"/>
  <c r="AH222"/>
  <c r="AQ221"/>
  <c r="AP221"/>
  <c r="AO221"/>
  <c r="AN221"/>
  <c r="AL221"/>
  <c r="AK221"/>
  <c r="AJ221"/>
  <c r="AI221"/>
  <c r="AM220"/>
  <c r="AM217" s="1"/>
  <c r="AH220"/>
  <c r="AH217" s="1"/>
  <c r="AQ219"/>
  <c r="AM219" s="1"/>
  <c r="AH219"/>
  <c r="AQ218"/>
  <c r="AM218" s="1"/>
  <c r="AL218"/>
  <c r="AH218" s="1"/>
  <c r="AQ217"/>
  <c r="AP217"/>
  <c r="AO217"/>
  <c r="AN217"/>
  <c r="AL217"/>
  <c r="AK217"/>
  <c r="AJ217"/>
  <c r="AI217"/>
  <c r="AQ214"/>
  <c r="AP214"/>
  <c r="AO214"/>
  <c r="AN214"/>
  <c r="AM214"/>
  <c r="AL214"/>
  <c r="AK214"/>
  <c r="AJ214"/>
  <c r="AI214"/>
  <c r="AH214"/>
  <c r="AM212"/>
  <c r="AH212"/>
  <c r="AM211"/>
  <c r="AH211"/>
  <c r="AM210"/>
  <c r="AH210"/>
  <c r="AM207"/>
  <c r="AH207"/>
  <c r="AM206"/>
  <c r="AH206"/>
  <c r="AM205"/>
  <c r="AH205"/>
  <c r="AM204"/>
  <c r="AH204"/>
  <c r="AM203"/>
  <c r="AH203"/>
  <c r="AQ201"/>
  <c r="AP201"/>
  <c r="AO201"/>
  <c r="AN201"/>
  <c r="AL201"/>
  <c r="AK201"/>
  <c r="AJ201"/>
  <c r="AI201"/>
  <c r="AM198"/>
  <c r="AM197" s="1"/>
  <c r="AH198"/>
  <c r="AH197" s="1"/>
  <c r="AQ197"/>
  <c r="AP197"/>
  <c r="AO197"/>
  <c r="AN197"/>
  <c r="AL197"/>
  <c r="AK197"/>
  <c r="AJ197"/>
  <c r="AI197"/>
  <c r="AM196"/>
  <c r="AM194" s="1"/>
  <c r="AH196"/>
  <c r="AH194" s="1"/>
  <c r="AQ194"/>
  <c r="AP194"/>
  <c r="AO194"/>
  <c r="AN194"/>
  <c r="AL194"/>
  <c r="AK194"/>
  <c r="AJ194"/>
  <c r="AI194"/>
  <c r="AM193"/>
  <c r="AM192" s="1"/>
  <c r="AH193"/>
  <c r="AH192" s="1"/>
  <c r="AM191"/>
  <c r="AH191"/>
  <c r="AM190"/>
  <c r="AH190"/>
  <c r="AQ189"/>
  <c r="AP189"/>
  <c r="AO189"/>
  <c r="AN189"/>
  <c r="AL189"/>
  <c r="AK189"/>
  <c r="AJ189"/>
  <c r="AI189"/>
  <c r="AM186"/>
  <c r="AH186"/>
  <c r="AM185"/>
  <c r="AH185"/>
  <c r="AM184"/>
  <c r="AH184"/>
  <c r="AM179"/>
  <c r="AH179"/>
  <c r="AM178"/>
  <c r="AH178"/>
  <c r="AM177"/>
  <c r="AH177"/>
  <c r="AM176"/>
  <c r="AH176"/>
  <c r="AM175"/>
  <c r="AH175"/>
  <c r="AM173"/>
  <c r="AH173"/>
  <c r="AM172"/>
  <c r="AH172"/>
  <c r="AM171"/>
  <c r="AH171"/>
  <c r="AM170"/>
  <c r="AH170"/>
  <c r="AM168"/>
  <c r="AH168"/>
  <c r="AM167"/>
  <c r="AH167"/>
  <c r="AM166"/>
  <c r="AH166"/>
  <c r="AM165"/>
  <c r="AH165"/>
  <c r="AM164"/>
  <c r="AH164"/>
  <c r="AM157"/>
  <c r="AH157"/>
  <c r="AM156"/>
  <c r="AH156"/>
  <c r="AM155"/>
  <c r="AH155"/>
  <c r="AM154"/>
  <c r="AH154"/>
  <c r="AM151"/>
  <c r="AH151"/>
  <c r="AM150"/>
  <c r="AH150"/>
  <c r="AM149"/>
  <c r="AH149"/>
  <c r="AM148"/>
  <c r="AH148"/>
  <c r="AM147"/>
  <c r="AH147"/>
  <c r="AM146"/>
  <c r="AH146"/>
  <c r="AQ145"/>
  <c r="AP145"/>
  <c r="AO145"/>
  <c r="AN145"/>
  <c r="AL145"/>
  <c r="AK145"/>
  <c r="AJ145"/>
  <c r="AI145"/>
  <c r="AM144"/>
  <c r="AH144"/>
  <c r="AM143"/>
  <c r="AH143"/>
  <c r="AM142"/>
  <c r="AH142"/>
  <c r="AM141"/>
  <c r="AH141"/>
  <c r="AM140"/>
  <c r="AH140"/>
  <c r="AM139"/>
  <c r="AH139"/>
  <c r="AM138"/>
  <c r="AH138"/>
  <c r="AQ137"/>
  <c r="AP137"/>
  <c r="AO137"/>
  <c r="AN137"/>
  <c r="AL137"/>
  <c r="AK137"/>
  <c r="AJ137"/>
  <c r="AI137"/>
  <c r="AM135"/>
  <c r="AH135"/>
  <c r="AM134"/>
  <c r="AH134"/>
  <c r="AM133"/>
  <c r="AH133"/>
  <c r="AM132"/>
  <c r="AH132"/>
  <c r="AM130"/>
  <c r="AH130"/>
  <c r="AM129"/>
  <c r="AH129"/>
  <c r="AM128"/>
  <c r="AH128"/>
  <c r="AM127"/>
  <c r="AH127"/>
  <c r="AM126"/>
  <c r="AH126"/>
  <c r="AM125"/>
  <c r="AH125"/>
  <c r="AM124"/>
  <c r="AH124"/>
  <c r="AM123"/>
  <c r="AH123"/>
  <c r="AM122"/>
  <c r="AH122"/>
  <c r="AM121"/>
  <c r="AH121"/>
  <c r="AM113"/>
  <c r="AH113"/>
  <c r="AQ112"/>
  <c r="AQ94" s="1"/>
  <c r="AL112"/>
  <c r="AL94" s="1"/>
  <c r="AM111"/>
  <c r="AH111"/>
  <c r="AM110"/>
  <c r="AH110"/>
  <c r="AM109"/>
  <c r="AH109"/>
  <c r="AM108"/>
  <c r="AH108"/>
  <c r="AM107"/>
  <c r="AH107"/>
  <c r="AM105"/>
  <c r="AH105"/>
  <c r="AM104"/>
  <c r="AH104"/>
  <c r="AM103"/>
  <c r="AH103"/>
  <c r="AM102"/>
  <c r="AH102"/>
  <c r="AM101"/>
  <c r="AH101"/>
  <c r="AM100"/>
  <c r="AH100"/>
  <c r="AM99"/>
  <c r="AH99"/>
  <c r="AM98"/>
  <c r="AH98"/>
  <c r="AM97"/>
  <c r="AH97"/>
  <c r="AM96"/>
  <c r="AH96"/>
  <c r="AM95"/>
  <c r="AH95"/>
  <c r="AQ93"/>
  <c r="AM93" s="1"/>
  <c r="AL93"/>
  <c r="AH93" s="1"/>
  <c r="AM92"/>
  <c r="AH92"/>
  <c r="AQ91"/>
  <c r="AQ77" s="1"/>
  <c r="AL91"/>
  <c r="AL77" s="1"/>
  <c r="AM90"/>
  <c r="AH90"/>
  <c r="AM89"/>
  <c r="AH89"/>
  <c r="AM88"/>
  <c r="AH88"/>
  <c r="AM87"/>
  <c r="AH87"/>
  <c r="AM86"/>
  <c r="AH86"/>
  <c r="AM85"/>
  <c r="AH85"/>
  <c r="AM84"/>
  <c r="AH84"/>
  <c r="AM83"/>
  <c r="AH83"/>
  <c r="AM82"/>
  <c r="AH82"/>
  <c r="AM81"/>
  <c r="AH81"/>
  <c r="AM80"/>
  <c r="AM79"/>
  <c r="AH79"/>
  <c r="AM78"/>
  <c r="AH78"/>
  <c r="AM76"/>
  <c r="AH76"/>
  <c r="AM75"/>
  <c r="AH75"/>
  <c r="AM74"/>
  <c r="AH74"/>
  <c r="AM71"/>
  <c r="AH71"/>
  <c r="AM70"/>
  <c r="AH70"/>
  <c r="AM69"/>
  <c r="AH69"/>
  <c r="AM68"/>
  <c r="AH68"/>
  <c r="AQ67"/>
  <c r="AP67"/>
  <c r="AO67"/>
  <c r="AN67"/>
  <c r="AL67"/>
  <c r="AK67"/>
  <c r="AJ67"/>
  <c r="AI67"/>
  <c r="AM66"/>
  <c r="AH66"/>
  <c r="AM65"/>
  <c r="AH65"/>
  <c r="AQ64"/>
  <c r="AP64"/>
  <c r="AO64"/>
  <c r="AN64"/>
  <c r="AL64"/>
  <c r="AK64"/>
  <c r="AJ64"/>
  <c r="AI64"/>
  <c r="AQ63"/>
  <c r="AQ51" s="1"/>
  <c r="AL63"/>
  <c r="AL51" s="1"/>
  <c r="AM56"/>
  <c r="AH56"/>
  <c r="AM55"/>
  <c r="AH55"/>
  <c r="AM54"/>
  <c r="AH54"/>
  <c r="AM53"/>
  <c r="AH53"/>
  <c r="AM50"/>
  <c r="AH50"/>
  <c r="AM49"/>
  <c r="AH49"/>
  <c r="AM48"/>
  <c r="AH48"/>
  <c r="AM47"/>
  <c r="AH47"/>
  <c r="AM46"/>
  <c r="AH46"/>
  <c r="AM45"/>
  <c r="AH45"/>
  <c r="AM44"/>
  <c r="AH44"/>
  <c r="AM43"/>
  <c r="AH43"/>
  <c r="AM42"/>
  <c r="AH42"/>
  <c r="AM41"/>
  <c r="AH41"/>
  <c r="AM36"/>
  <c r="AH36"/>
  <c r="AM35"/>
  <c r="AH35"/>
  <c r="AM34"/>
  <c r="AH34"/>
  <c r="AM33"/>
  <c r="AH33"/>
  <c r="AM32"/>
  <c r="AH32"/>
  <c r="AM31"/>
  <c r="AH31"/>
  <c r="AM30"/>
  <c r="AH30"/>
  <c r="AM28"/>
  <c r="AH28"/>
  <c r="AM27"/>
  <c r="AH27"/>
  <c r="AM26"/>
  <c r="AH26"/>
  <c r="AM25"/>
  <c r="AH25"/>
  <c r="AM24"/>
  <c r="AH24"/>
  <c r="AM23"/>
  <c r="AH23"/>
  <c r="AM22"/>
  <c r="AH22"/>
  <c r="AM21"/>
  <c r="AH21"/>
  <c r="AM20"/>
  <c r="AH20"/>
  <c r="AM19"/>
  <c r="AH19"/>
  <c r="AM18"/>
  <c r="AH18"/>
  <c r="AM17"/>
  <c r="AH17"/>
  <c r="AQ16"/>
  <c r="AP16"/>
  <c r="AO16"/>
  <c r="AN16"/>
  <c r="AL16"/>
  <c r="AK16"/>
  <c r="AJ16"/>
  <c r="AI16"/>
  <c r="AC441"/>
  <c r="X441"/>
  <c r="AC435"/>
  <c r="X435"/>
  <c r="AC434"/>
  <c r="X434"/>
  <c r="AC433"/>
  <c r="X433"/>
  <c r="AG432"/>
  <c r="AF432"/>
  <c r="AE432"/>
  <c r="AD432"/>
  <c r="AB432"/>
  <c r="AA432"/>
  <c r="Z432"/>
  <c r="Y432"/>
  <c r="AC431"/>
  <c r="X431"/>
  <c r="AC430"/>
  <c r="X430"/>
  <c r="AC429"/>
  <c r="X429"/>
  <c r="AC428"/>
  <c r="X428"/>
  <c r="AG427"/>
  <c r="AF427"/>
  <c r="AE427"/>
  <c r="AD427"/>
  <c r="AB427"/>
  <c r="AA427"/>
  <c r="Z427"/>
  <c r="Y427"/>
  <c r="AC426"/>
  <c r="X426"/>
  <c r="AC425"/>
  <c r="X425"/>
  <c r="AC424"/>
  <c r="X424"/>
  <c r="AC423"/>
  <c r="X423"/>
  <c r="AC422"/>
  <c r="X422"/>
  <c r="AG421"/>
  <c r="AF421"/>
  <c r="AE421"/>
  <c r="AD421"/>
  <c r="AB421"/>
  <c r="AA421"/>
  <c r="Z421"/>
  <c r="Y421"/>
  <c r="AC411"/>
  <c r="X411"/>
  <c r="AC410"/>
  <c r="X410"/>
  <c r="AG409"/>
  <c r="AF409"/>
  <c r="AE409"/>
  <c r="AD409"/>
  <c r="AB409"/>
  <c r="AA409"/>
  <c r="Z409"/>
  <c r="Y409"/>
  <c r="AC407"/>
  <c r="AC406" s="1"/>
  <c r="X407"/>
  <c r="X406" s="1"/>
  <c r="AG406"/>
  <c r="AF406"/>
  <c r="AE406"/>
  <c r="AD406"/>
  <c r="AB406"/>
  <c r="AA406"/>
  <c r="Z406"/>
  <c r="Y406"/>
  <c r="AC405"/>
  <c r="X405"/>
  <c r="AC404"/>
  <c r="X404"/>
  <c r="AC403"/>
  <c r="X403"/>
  <c r="AC402"/>
  <c r="X402"/>
  <c r="AC401"/>
  <c r="X401"/>
  <c r="AG400"/>
  <c r="AF400"/>
  <c r="AE400"/>
  <c r="AD400"/>
  <c r="AB400"/>
  <c r="AA400"/>
  <c r="Z400"/>
  <c r="Y400"/>
  <c r="AC399"/>
  <c r="X399"/>
  <c r="AC398"/>
  <c r="X398"/>
  <c r="AC397"/>
  <c r="X397"/>
  <c r="AC396"/>
  <c r="X396"/>
  <c r="AG395"/>
  <c r="AF395"/>
  <c r="AE395"/>
  <c r="AD395"/>
  <c r="AB395"/>
  <c r="AA395"/>
  <c r="Z395"/>
  <c r="Y395"/>
  <c r="AC394"/>
  <c r="X394"/>
  <c r="AC393"/>
  <c r="X393"/>
  <c r="AC392"/>
  <c r="X392"/>
  <c r="AG391"/>
  <c r="AF391"/>
  <c r="AE391"/>
  <c r="AD391"/>
  <c r="AB391"/>
  <c r="AA391"/>
  <c r="Z391"/>
  <c r="Y391"/>
  <c r="AC388"/>
  <c r="X388"/>
  <c r="AC387"/>
  <c r="X387"/>
  <c r="AG386"/>
  <c r="AF386"/>
  <c r="AE386"/>
  <c r="AD386"/>
  <c r="AB386"/>
  <c r="AA386"/>
  <c r="Z386"/>
  <c r="Y386"/>
  <c r="AC385"/>
  <c r="X385"/>
  <c r="AC384"/>
  <c r="X384"/>
  <c r="AC383"/>
  <c r="X383"/>
  <c r="AC382"/>
  <c r="X382"/>
  <c r="AC381"/>
  <c r="X381"/>
  <c r="AC380"/>
  <c r="X380"/>
  <c r="AC379"/>
  <c r="X379"/>
  <c r="AC378"/>
  <c r="X378"/>
  <c r="AC377"/>
  <c r="X377"/>
  <c r="AG376"/>
  <c r="AF376"/>
  <c r="AE376"/>
  <c r="AD376"/>
  <c r="AB376"/>
  <c r="AA376"/>
  <c r="Z376"/>
  <c r="Y376"/>
  <c r="AC375"/>
  <c r="X375"/>
  <c r="AC374"/>
  <c r="X374"/>
  <c r="AC373"/>
  <c r="X373"/>
  <c r="AC372"/>
  <c r="X372"/>
  <c r="AC371"/>
  <c r="X371"/>
  <c r="AC370"/>
  <c r="X370"/>
  <c r="AC369"/>
  <c r="X369"/>
  <c r="AC368"/>
  <c r="X368"/>
  <c r="AC367"/>
  <c r="X367"/>
  <c r="AC366"/>
  <c r="X366"/>
  <c r="AC365"/>
  <c r="X365"/>
  <c r="AC364"/>
  <c r="X364"/>
  <c r="AC363"/>
  <c r="X363"/>
  <c r="AC362"/>
  <c r="X362"/>
  <c r="AC361"/>
  <c r="X361"/>
  <c r="AC360"/>
  <c r="X360"/>
  <c r="AC359"/>
  <c r="X359"/>
  <c r="AC352"/>
  <c r="X352"/>
  <c r="AC351"/>
  <c r="X351"/>
  <c r="AC350"/>
  <c r="X350"/>
  <c r="AG349"/>
  <c r="AF349"/>
  <c r="AE349"/>
  <c r="AD349"/>
  <c r="AB349"/>
  <c r="AA349"/>
  <c r="Z349"/>
  <c r="Y349"/>
  <c r="AC348"/>
  <c r="AC347" s="1"/>
  <c r="X348"/>
  <c r="X347" s="1"/>
  <c r="AG347"/>
  <c r="AF347"/>
  <c r="AE347"/>
  <c r="AD347"/>
  <c r="AB347"/>
  <c r="AA347"/>
  <c r="Z347"/>
  <c r="Y347"/>
  <c r="AC338"/>
  <c r="X338"/>
  <c r="AC337"/>
  <c r="X337"/>
  <c r="AC336"/>
  <c r="AC334" s="1"/>
  <c r="X336"/>
  <c r="X334" s="1"/>
  <c r="AC335"/>
  <c r="X335"/>
  <c r="AG332"/>
  <c r="AF332"/>
  <c r="AE332"/>
  <c r="AD332"/>
  <c r="AB332"/>
  <c r="AA332"/>
  <c r="Z332"/>
  <c r="Y332"/>
  <c r="AC327"/>
  <c r="AC326" s="1"/>
  <c r="X327"/>
  <c r="X326" s="1"/>
  <c r="AC320"/>
  <c r="X320"/>
  <c r="AC319"/>
  <c r="X319"/>
  <c r="AC318"/>
  <c r="X318"/>
  <c r="AC317"/>
  <c r="X317"/>
  <c r="AC316"/>
  <c r="X316"/>
  <c r="AC315"/>
  <c r="X315"/>
  <c r="AG314"/>
  <c r="AF314"/>
  <c r="AE314"/>
  <c r="AD314"/>
  <c r="AB314"/>
  <c r="AA314"/>
  <c r="Z314"/>
  <c r="Y314"/>
  <c r="AC313"/>
  <c r="X313"/>
  <c r="AC312"/>
  <c r="X312"/>
  <c r="AG311"/>
  <c r="AF311"/>
  <c r="AE311"/>
  <c r="AD311"/>
  <c r="AB311"/>
  <c r="AA311"/>
  <c r="Z311"/>
  <c r="Y311"/>
  <c r="AC310"/>
  <c r="AB310"/>
  <c r="X310" s="1"/>
  <c r="AC309"/>
  <c r="X309"/>
  <c r="AG308"/>
  <c r="AF308"/>
  <c r="AE308"/>
  <c r="AD308"/>
  <c r="AA308"/>
  <c r="Z308"/>
  <c r="Y308"/>
  <c r="X306"/>
  <c r="X305" s="1"/>
  <c r="AC304"/>
  <c r="X304"/>
  <c r="X303"/>
  <c r="AC302"/>
  <c r="X302"/>
  <c r="AC301"/>
  <c r="X301"/>
  <c r="AC300"/>
  <c r="X300"/>
  <c r="AC299"/>
  <c r="X299"/>
  <c r="AC298"/>
  <c r="X298"/>
  <c r="AC297"/>
  <c r="X297"/>
  <c r="AC296"/>
  <c r="X296"/>
  <c r="AC295"/>
  <c r="X295"/>
  <c r="X293"/>
  <c r="X292" s="1"/>
  <c r="AG292"/>
  <c r="AF292"/>
  <c r="AE292"/>
  <c r="AD292"/>
  <c r="AC292"/>
  <c r="AB292"/>
  <c r="AA292"/>
  <c r="Z292"/>
  <c r="Y292"/>
  <c r="AC290"/>
  <c r="X290"/>
  <c r="AC289"/>
  <c r="X289"/>
  <c r="X288"/>
  <c r="AC287"/>
  <c r="X287"/>
  <c r="X286"/>
  <c r="AC285"/>
  <c r="X285"/>
  <c r="X284"/>
  <c r="AC283"/>
  <c r="X283"/>
  <c r="AC282"/>
  <c r="X282"/>
  <c r="X281"/>
  <c r="AC280"/>
  <c r="X280"/>
  <c r="X279"/>
  <c r="AC278"/>
  <c r="X278"/>
  <c r="AC277"/>
  <c r="X277"/>
  <c r="AC276"/>
  <c r="X276"/>
  <c r="AC275"/>
  <c r="X275"/>
  <c r="X274"/>
  <c r="X273"/>
  <c r="X272"/>
  <c r="AC271"/>
  <c r="X271"/>
  <c r="AC270"/>
  <c r="X270"/>
  <c r="AC269"/>
  <c r="X269"/>
  <c r="AG268"/>
  <c r="AF268"/>
  <c r="AE268"/>
  <c r="AD268"/>
  <c r="AB268"/>
  <c r="AA268"/>
  <c r="Z268"/>
  <c r="Y268"/>
  <c r="AC267"/>
  <c r="X267"/>
  <c r="X266"/>
  <c r="AC265"/>
  <c r="X265"/>
  <c r="AC264"/>
  <c r="X264"/>
  <c r="X263"/>
  <c r="X262"/>
  <c r="AC261"/>
  <c r="X261"/>
  <c r="AC260"/>
  <c r="X260"/>
  <c r="AC259"/>
  <c r="X259"/>
  <c r="AC258"/>
  <c r="X258"/>
  <c r="X257"/>
  <c r="AC256"/>
  <c r="X256"/>
  <c r="AC255"/>
  <c r="X255"/>
  <c r="AC254"/>
  <c r="X254"/>
  <c r="X253"/>
  <c r="AC252"/>
  <c r="X252"/>
  <c r="AC251"/>
  <c r="X251"/>
  <c r="AC250"/>
  <c r="X250"/>
  <c r="AC249"/>
  <c r="X249"/>
  <c r="AC248"/>
  <c r="X248"/>
  <c r="AC247"/>
  <c r="X247"/>
  <c r="AC246"/>
  <c r="X246"/>
  <c r="AC245"/>
  <c r="X245"/>
  <c r="AC244"/>
  <c r="X244"/>
  <c r="AC243"/>
  <c r="X243"/>
  <c r="AC242"/>
  <c r="X242"/>
  <c r="AC241"/>
  <c r="X241"/>
  <c r="AC240"/>
  <c r="X240"/>
  <c r="AC239"/>
  <c r="X239"/>
  <c r="AC238"/>
  <c r="X238"/>
  <c r="AC237"/>
  <c r="X237"/>
  <c r="AC236"/>
  <c r="X236"/>
  <c r="AC235"/>
  <c r="X235"/>
  <c r="AC234"/>
  <c r="X234"/>
  <c r="AC233"/>
  <c r="X233"/>
  <c r="AC232"/>
  <c r="X232"/>
  <c r="AG231"/>
  <c r="AF231"/>
  <c r="AE231"/>
  <c r="AD231"/>
  <c r="AB231"/>
  <c r="AA231"/>
  <c r="Z231"/>
  <c r="Y231"/>
  <c r="AC227"/>
  <c r="AC226" s="1"/>
  <c r="X227"/>
  <c r="X226" s="1"/>
  <c r="AG226"/>
  <c r="AF226"/>
  <c r="AE226"/>
  <c r="AD226"/>
  <c r="AB226"/>
  <c r="AA226"/>
  <c r="Z226"/>
  <c r="Y226"/>
  <c r="AC225"/>
  <c r="X225"/>
  <c r="AC224"/>
  <c r="X224"/>
  <c r="AC223"/>
  <c r="X223"/>
  <c r="AC222"/>
  <c r="X222"/>
  <c r="AG221"/>
  <c r="AF221"/>
  <c r="AE221"/>
  <c r="AD221"/>
  <c r="AB221"/>
  <c r="AA221"/>
  <c r="Z221"/>
  <c r="Y221"/>
  <c r="AC220"/>
  <c r="AC217" s="1"/>
  <c r="X220"/>
  <c r="X217" s="1"/>
  <c r="AC219"/>
  <c r="X219"/>
  <c r="AG218"/>
  <c r="AC218" s="1"/>
  <c r="AB218"/>
  <c r="X218" s="1"/>
  <c r="AG217"/>
  <c r="AF217"/>
  <c r="AE217"/>
  <c r="AD217"/>
  <c r="AB217"/>
  <c r="AA217"/>
  <c r="Z217"/>
  <c r="Y217"/>
  <c r="AC216"/>
  <c r="AC214" s="1"/>
  <c r="X216"/>
  <c r="X214" s="1"/>
  <c r="AG214"/>
  <c r="AF214"/>
  <c r="AE214"/>
  <c r="AD214"/>
  <c r="AB214"/>
  <c r="AA214"/>
  <c r="Z214"/>
  <c r="Y214"/>
  <c r="X213"/>
  <c r="AC212"/>
  <c r="X212"/>
  <c r="AC211"/>
  <c r="X211"/>
  <c r="AC210"/>
  <c r="X210"/>
  <c r="X209"/>
  <c r="AC208"/>
  <c r="X208"/>
  <c r="AE207"/>
  <c r="AC207" s="1"/>
  <c r="X207"/>
  <c r="AC206"/>
  <c r="X206"/>
  <c r="AC205"/>
  <c r="X205"/>
  <c r="AC204"/>
  <c r="AB204"/>
  <c r="X204" s="1"/>
  <c r="AC203"/>
  <c r="X203"/>
  <c r="X202"/>
  <c r="AG201"/>
  <c r="AF201"/>
  <c r="AD201"/>
  <c r="AA201"/>
  <c r="Z201"/>
  <c r="Y201"/>
  <c r="AC198"/>
  <c r="AC197" s="1"/>
  <c r="X198"/>
  <c r="X197" s="1"/>
  <c r="AG197"/>
  <c r="AF197"/>
  <c r="AE197"/>
  <c r="AD197"/>
  <c r="AB197"/>
  <c r="AA197"/>
  <c r="Z197"/>
  <c r="Y197"/>
  <c r="AC196"/>
  <c r="AC194" s="1"/>
  <c r="X196"/>
  <c r="X194" s="1"/>
  <c r="AG194"/>
  <c r="AF194"/>
  <c r="AE194"/>
  <c r="AD194"/>
  <c r="AB194"/>
  <c r="AA194"/>
  <c r="Z194"/>
  <c r="Y194"/>
  <c r="AC193"/>
  <c r="AC192" s="1"/>
  <c r="X193"/>
  <c r="X192" s="1"/>
  <c r="AC191"/>
  <c r="X191"/>
  <c r="AC190"/>
  <c r="X190"/>
  <c r="AG189"/>
  <c r="AF189"/>
  <c r="AE189"/>
  <c r="AD189"/>
  <c r="AB189"/>
  <c r="AA189"/>
  <c r="Z189"/>
  <c r="Y189"/>
  <c r="AC188"/>
  <c r="X188"/>
  <c r="AC187"/>
  <c r="X187"/>
  <c r="AC186"/>
  <c r="X186"/>
  <c r="AC185"/>
  <c r="X185"/>
  <c r="AC184"/>
  <c r="X184"/>
  <c r="X183"/>
  <c r="X182"/>
  <c r="X181"/>
  <c r="X180"/>
  <c r="AC179"/>
  <c r="X179"/>
  <c r="AC178"/>
  <c r="X178"/>
  <c r="AC177"/>
  <c r="X177"/>
  <c r="AC176"/>
  <c r="X176"/>
  <c r="AC175"/>
  <c r="X175"/>
  <c r="AC173"/>
  <c r="X173"/>
  <c r="AC172"/>
  <c r="X172"/>
  <c r="AC171"/>
  <c r="X171"/>
  <c r="AC170"/>
  <c r="X170"/>
  <c r="AC169"/>
  <c r="X169"/>
  <c r="AC168"/>
  <c r="X168"/>
  <c r="AC167"/>
  <c r="X167"/>
  <c r="AC166"/>
  <c r="X166"/>
  <c r="AC165"/>
  <c r="X165"/>
  <c r="AC164"/>
  <c r="X164"/>
  <c r="AC163"/>
  <c r="X163"/>
  <c r="AC162"/>
  <c r="X162"/>
  <c r="AC161"/>
  <c r="X161"/>
  <c r="AC160"/>
  <c r="X160"/>
  <c r="AC159"/>
  <c r="X159"/>
  <c r="AC158"/>
  <c r="X158"/>
  <c r="AC157"/>
  <c r="X157"/>
  <c r="AC156"/>
  <c r="X156"/>
  <c r="AC155"/>
  <c r="X155"/>
  <c r="AC154"/>
  <c r="X154"/>
  <c r="X153" s="1"/>
  <c r="X152"/>
  <c r="AC151"/>
  <c r="X151"/>
  <c r="AC150"/>
  <c r="X150"/>
  <c r="AC149"/>
  <c r="X149"/>
  <c r="AC148"/>
  <c r="X148"/>
  <c r="AC147"/>
  <c r="X147"/>
  <c r="AC146"/>
  <c r="X146"/>
  <c r="AG145"/>
  <c r="AF145"/>
  <c r="AE145"/>
  <c r="AD145"/>
  <c r="AB145"/>
  <c r="AA145"/>
  <c r="Z145"/>
  <c r="Y145"/>
  <c r="AC144"/>
  <c r="X144"/>
  <c r="AC143"/>
  <c r="X143"/>
  <c r="AC142"/>
  <c r="X142"/>
  <c r="AC141"/>
  <c r="X141"/>
  <c r="AC140"/>
  <c r="X140"/>
  <c r="AC139"/>
  <c r="X139"/>
  <c r="AC138"/>
  <c r="X138"/>
  <c r="AG137"/>
  <c r="AF137"/>
  <c r="AE137"/>
  <c r="AD137"/>
  <c r="AB137"/>
  <c r="AA137"/>
  <c r="Z137"/>
  <c r="Y137"/>
  <c r="AC135"/>
  <c r="X135"/>
  <c r="AC134"/>
  <c r="X134"/>
  <c r="AC133"/>
  <c r="X133"/>
  <c r="AC132"/>
  <c r="X132"/>
  <c r="X131"/>
  <c r="AC130"/>
  <c r="X130"/>
  <c r="AC129"/>
  <c r="X129"/>
  <c r="AC128"/>
  <c r="X128"/>
  <c r="AC127"/>
  <c r="X127"/>
  <c r="AC126"/>
  <c r="X126"/>
  <c r="AC125"/>
  <c r="X125"/>
  <c r="AC124"/>
  <c r="X124"/>
  <c r="AC123"/>
  <c r="X123"/>
  <c r="AC122"/>
  <c r="X122"/>
  <c r="AC121"/>
  <c r="X121"/>
  <c r="X120"/>
  <c r="X119"/>
  <c r="X117"/>
  <c r="X116"/>
  <c r="X115"/>
  <c r="X114"/>
  <c r="AC113"/>
  <c r="X113"/>
  <c r="AG112"/>
  <c r="AG94" s="1"/>
  <c r="AB112"/>
  <c r="X112" s="1"/>
  <c r="AC111"/>
  <c r="X111"/>
  <c r="AC110"/>
  <c r="AB110"/>
  <c r="AB94" s="1"/>
  <c r="AC109"/>
  <c r="X109"/>
  <c r="AC108"/>
  <c r="X108"/>
  <c r="AC107"/>
  <c r="X107"/>
  <c r="X106"/>
  <c r="AC105"/>
  <c r="X105"/>
  <c r="AC104"/>
  <c r="X104"/>
  <c r="AC103"/>
  <c r="X103"/>
  <c r="AC102"/>
  <c r="X102"/>
  <c r="AC101"/>
  <c r="X101"/>
  <c r="AC100"/>
  <c r="X100"/>
  <c r="AC99"/>
  <c r="X99"/>
  <c r="AC98"/>
  <c r="X98"/>
  <c r="AC97"/>
  <c r="X97"/>
  <c r="AC96"/>
  <c r="X96"/>
  <c r="AC95"/>
  <c r="X95"/>
  <c r="AG93"/>
  <c r="AC93" s="1"/>
  <c r="AB93"/>
  <c r="X93" s="1"/>
  <c r="AC92"/>
  <c r="X92"/>
  <c r="AG91"/>
  <c r="AG77" s="1"/>
  <c r="AB91"/>
  <c r="X91" s="1"/>
  <c r="AC90"/>
  <c r="X90"/>
  <c r="AC89"/>
  <c r="X89"/>
  <c r="AC88"/>
  <c r="AB88"/>
  <c r="AC87"/>
  <c r="X87"/>
  <c r="AC86"/>
  <c r="X86"/>
  <c r="AC85"/>
  <c r="X85"/>
  <c r="AC84"/>
  <c r="X84"/>
  <c r="AC83"/>
  <c r="X83"/>
  <c r="AC82"/>
  <c r="X82"/>
  <c r="AC81"/>
  <c r="X81"/>
  <c r="AC80"/>
  <c r="X80"/>
  <c r="AC79"/>
  <c r="X79"/>
  <c r="AC78"/>
  <c r="X78"/>
  <c r="AC76"/>
  <c r="X76"/>
  <c r="AC75"/>
  <c r="X75"/>
  <c r="AC74"/>
  <c r="X74"/>
  <c r="X72"/>
  <c r="AC71"/>
  <c r="X71"/>
  <c r="AC70"/>
  <c r="X70"/>
  <c r="AC69"/>
  <c r="X69"/>
  <c r="AC68"/>
  <c r="X68"/>
  <c r="AG67"/>
  <c r="AF67"/>
  <c r="AE67"/>
  <c r="AD67"/>
  <c r="AB67"/>
  <c r="AA67"/>
  <c r="Z67"/>
  <c r="Y67"/>
  <c r="AC66"/>
  <c r="X66"/>
  <c r="AC65"/>
  <c r="X65"/>
  <c r="AG64"/>
  <c r="AF64"/>
  <c r="AE64"/>
  <c r="AD64"/>
  <c r="AB64"/>
  <c r="AA64"/>
  <c r="Z64"/>
  <c r="Y64"/>
  <c r="AC63"/>
  <c r="X63"/>
  <c r="X62"/>
  <c r="X61"/>
  <c r="X60"/>
  <c r="X59"/>
  <c r="X58"/>
  <c r="X57"/>
  <c r="X56"/>
  <c r="AC55"/>
  <c r="X55"/>
  <c r="AC54"/>
  <c r="X54"/>
  <c r="AC53"/>
  <c r="X53"/>
  <c r="X52"/>
  <c r="AC50"/>
  <c r="X50"/>
  <c r="AC49"/>
  <c r="X49"/>
  <c r="AC48"/>
  <c r="X48"/>
  <c r="AC47"/>
  <c r="X47"/>
  <c r="AC46"/>
  <c r="X46"/>
  <c r="AC45"/>
  <c r="X45"/>
  <c r="AC44"/>
  <c r="X44"/>
  <c r="AC43"/>
  <c r="X43"/>
  <c r="AC42"/>
  <c r="X42"/>
  <c r="AC41"/>
  <c r="X41"/>
  <c r="AB37"/>
  <c r="X37" s="1"/>
  <c r="AC36"/>
  <c r="X36"/>
  <c r="AC35"/>
  <c r="X35"/>
  <c r="AC34"/>
  <c r="X34"/>
  <c r="AC33"/>
  <c r="X33"/>
  <c r="AC32"/>
  <c r="X32"/>
  <c r="AC31"/>
  <c r="X31"/>
  <c r="AC30"/>
  <c r="X30"/>
  <c r="AC28"/>
  <c r="X28"/>
  <c r="AC27"/>
  <c r="X27"/>
  <c r="AC26"/>
  <c r="X26"/>
  <c r="AC25"/>
  <c r="X25"/>
  <c r="AC24"/>
  <c r="X24"/>
  <c r="AC23"/>
  <c r="X23"/>
  <c r="AC22"/>
  <c r="X22"/>
  <c r="AC21"/>
  <c r="X21"/>
  <c r="AC20"/>
  <c r="X20"/>
  <c r="AC19"/>
  <c r="X19"/>
  <c r="AC18"/>
  <c r="X18"/>
  <c r="AC17"/>
  <c r="X17"/>
  <c r="AG16"/>
  <c r="AF16"/>
  <c r="AE16"/>
  <c r="AD16"/>
  <c r="AB16"/>
  <c r="AA16"/>
  <c r="Z16"/>
  <c r="Y16"/>
  <c r="N441"/>
  <c r="R435"/>
  <c r="N435" s="1"/>
  <c r="O435"/>
  <c r="R434"/>
  <c r="N434" s="1"/>
  <c r="O434"/>
  <c r="R433"/>
  <c r="N433" s="1"/>
  <c r="O433"/>
  <c r="W432"/>
  <c r="V432"/>
  <c r="U432"/>
  <c r="T432"/>
  <c r="S432"/>
  <c r="Q432"/>
  <c r="P432"/>
  <c r="O431"/>
  <c r="N431"/>
  <c r="O430"/>
  <c r="N430"/>
  <c r="R429"/>
  <c r="N429" s="1"/>
  <c r="O429"/>
  <c r="R428"/>
  <c r="N428" s="1"/>
  <c r="O428"/>
  <c r="W427"/>
  <c r="V427"/>
  <c r="U427"/>
  <c r="T427"/>
  <c r="S427"/>
  <c r="Q427"/>
  <c r="P427"/>
  <c r="R426"/>
  <c r="N426" s="1"/>
  <c r="O426"/>
  <c r="R425"/>
  <c r="N425" s="1"/>
  <c r="O425"/>
  <c r="R424"/>
  <c r="N424" s="1"/>
  <c r="O424"/>
  <c r="R423"/>
  <c r="N423" s="1"/>
  <c r="O423"/>
  <c r="R422"/>
  <c r="N422" s="1"/>
  <c r="O422"/>
  <c r="W421"/>
  <c r="V421"/>
  <c r="U421"/>
  <c r="T421"/>
  <c r="S421"/>
  <c r="Q421"/>
  <c r="P421"/>
  <c r="R411"/>
  <c r="N411" s="1"/>
  <c r="O411"/>
  <c r="R410"/>
  <c r="N410" s="1"/>
  <c r="O410"/>
  <c r="V409"/>
  <c r="T409"/>
  <c r="S409"/>
  <c r="Q409"/>
  <c r="P409"/>
  <c r="R407"/>
  <c r="N407" s="1"/>
  <c r="N406" s="1"/>
  <c r="O407"/>
  <c r="O406" s="1"/>
  <c r="W406"/>
  <c r="V406"/>
  <c r="U406"/>
  <c r="T406"/>
  <c r="S406"/>
  <c r="Q406"/>
  <c r="P406"/>
  <c r="R405"/>
  <c r="N405" s="1"/>
  <c r="O405"/>
  <c r="R404"/>
  <c r="N404" s="1"/>
  <c r="O404"/>
  <c r="R403"/>
  <c r="N403" s="1"/>
  <c r="O403"/>
  <c r="R402"/>
  <c r="N402" s="1"/>
  <c r="O402"/>
  <c r="O401"/>
  <c r="N401"/>
  <c r="W400"/>
  <c r="V400"/>
  <c r="U400"/>
  <c r="T400"/>
  <c r="S400"/>
  <c r="Q400"/>
  <c r="P400"/>
  <c r="R399"/>
  <c r="N399" s="1"/>
  <c r="O399"/>
  <c r="O398"/>
  <c r="N398"/>
  <c r="R397"/>
  <c r="N397" s="1"/>
  <c r="O397"/>
  <c r="R396"/>
  <c r="N396" s="1"/>
  <c r="O396"/>
  <c r="V395"/>
  <c r="T395"/>
  <c r="S395"/>
  <c r="Q395"/>
  <c r="P395"/>
  <c r="R394"/>
  <c r="N394" s="1"/>
  <c r="O394"/>
  <c r="O393"/>
  <c r="N393"/>
  <c r="O392"/>
  <c r="N392"/>
  <c r="V391"/>
  <c r="T391"/>
  <c r="S391"/>
  <c r="Q391"/>
  <c r="P391"/>
  <c r="O388"/>
  <c r="N388"/>
  <c r="R387"/>
  <c r="N387" s="1"/>
  <c r="O387"/>
  <c r="W386"/>
  <c r="V386"/>
  <c r="U386"/>
  <c r="T386"/>
  <c r="S386"/>
  <c r="Q386"/>
  <c r="P386"/>
  <c r="R385"/>
  <c r="N385" s="1"/>
  <c r="O385"/>
  <c r="R384"/>
  <c r="N384" s="1"/>
  <c r="O384"/>
  <c r="R383"/>
  <c r="N383" s="1"/>
  <c r="O383"/>
  <c r="R382"/>
  <c r="N382" s="1"/>
  <c r="O382"/>
  <c r="R381"/>
  <c r="N381" s="1"/>
  <c r="O381"/>
  <c r="R380"/>
  <c r="N380" s="1"/>
  <c r="O380"/>
  <c r="R379"/>
  <c r="N379" s="1"/>
  <c r="O379"/>
  <c r="R378"/>
  <c r="N378" s="1"/>
  <c r="O378"/>
  <c r="R377"/>
  <c r="O377"/>
  <c r="V376"/>
  <c r="U376"/>
  <c r="T376"/>
  <c r="S376"/>
  <c r="Q376"/>
  <c r="P376"/>
  <c r="O375"/>
  <c r="N375"/>
  <c r="O374"/>
  <c r="N374"/>
  <c r="O373"/>
  <c r="N373"/>
  <c r="R372"/>
  <c r="N372" s="1"/>
  <c r="O372"/>
  <c r="O371"/>
  <c r="N371"/>
  <c r="R370"/>
  <c r="N370" s="1"/>
  <c r="O370"/>
  <c r="R369"/>
  <c r="N369" s="1"/>
  <c r="O369"/>
  <c r="O368"/>
  <c r="N368"/>
  <c r="R367"/>
  <c r="N367" s="1"/>
  <c r="O367"/>
  <c r="O366"/>
  <c r="N366"/>
  <c r="R365"/>
  <c r="N365" s="1"/>
  <c r="O365"/>
  <c r="O364"/>
  <c r="N364"/>
  <c r="R363"/>
  <c r="N363" s="1"/>
  <c r="O363"/>
  <c r="O362"/>
  <c r="N362"/>
  <c r="R361"/>
  <c r="O361"/>
  <c r="O360"/>
  <c r="N360"/>
  <c r="R359"/>
  <c r="O359"/>
  <c r="O352"/>
  <c r="N352"/>
  <c r="P351"/>
  <c r="N351" s="1"/>
  <c r="O351"/>
  <c r="P350"/>
  <c r="N350" s="1"/>
  <c r="O350"/>
  <c r="W349"/>
  <c r="V349"/>
  <c r="U349"/>
  <c r="T349"/>
  <c r="S349"/>
  <c r="R349"/>
  <c r="Q349"/>
  <c r="O348"/>
  <c r="O347" s="1"/>
  <c r="N348"/>
  <c r="N347" s="1"/>
  <c r="V347"/>
  <c r="U347"/>
  <c r="T347"/>
  <c r="S347"/>
  <c r="R347"/>
  <c r="Q347"/>
  <c r="P347"/>
  <c r="V338"/>
  <c r="N338" s="1"/>
  <c r="O338"/>
  <c r="V337"/>
  <c r="O337"/>
  <c r="O336"/>
  <c r="N336"/>
  <c r="O335"/>
  <c r="N335"/>
  <c r="W332"/>
  <c r="U332"/>
  <c r="T332"/>
  <c r="S332"/>
  <c r="R332"/>
  <c r="Q332"/>
  <c r="P332"/>
  <c r="O327"/>
  <c r="O326" s="1"/>
  <c r="N327"/>
  <c r="N326" s="1"/>
  <c r="N322" s="1"/>
  <c r="R320"/>
  <c r="N320" s="1"/>
  <c r="O320"/>
  <c r="O319"/>
  <c r="N319"/>
  <c r="R318"/>
  <c r="N318" s="1"/>
  <c r="O318"/>
  <c r="R317"/>
  <c r="N317" s="1"/>
  <c r="O317"/>
  <c r="V316"/>
  <c r="O316"/>
  <c r="V315"/>
  <c r="N315" s="1"/>
  <c r="O315"/>
  <c r="W314"/>
  <c r="U314"/>
  <c r="T314"/>
  <c r="S314"/>
  <c r="Q314"/>
  <c r="P314"/>
  <c r="R313"/>
  <c r="P313"/>
  <c r="O313"/>
  <c r="R312"/>
  <c r="P312"/>
  <c r="O312"/>
  <c r="W311"/>
  <c r="V311"/>
  <c r="U311"/>
  <c r="T311"/>
  <c r="S311"/>
  <c r="Q311"/>
  <c r="V310"/>
  <c r="N310" s="1"/>
  <c r="O310"/>
  <c r="V309"/>
  <c r="N309" s="1"/>
  <c r="O309"/>
  <c r="W308"/>
  <c r="U308"/>
  <c r="T308"/>
  <c r="S308"/>
  <c r="R308"/>
  <c r="Q308"/>
  <c r="P308"/>
  <c r="N307"/>
  <c r="O306"/>
  <c r="O305" s="1"/>
  <c r="N306"/>
  <c r="V304"/>
  <c r="N304" s="1"/>
  <c r="O304"/>
  <c r="O303"/>
  <c r="N303"/>
  <c r="V302"/>
  <c r="N302" s="1"/>
  <c r="O302"/>
  <c r="O301"/>
  <c r="N301"/>
  <c r="V300"/>
  <c r="N300" s="1"/>
  <c r="O300"/>
  <c r="O299"/>
  <c r="N299"/>
  <c r="V298"/>
  <c r="O298"/>
  <c r="V297"/>
  <c r="O297"/>
  <c r="O296"/>
  <c r="N296"/>
  <c r="O295"/>
  <c r="N295"/>
  <c r="O293"/>
  <c r="O292" s="1"/>
  <c r="N293"/>
  <c r="N292" s="1"/>
  <c r="W292"/>
  <c r="V292"/>
  <c r="U292"/>
  <c r="T292"/>
  <c r="S292"/>
  <c r="R292"/>
  <c r="Q292"/>
  <c r="P292"/>
  <c r="V290"/>
  <c r="N290" s="1"/>
  <c r="O290"/>
  <c r="V289"/>
  <c r="N289" s="1"/>
  <c r="O289"/>
  <c r="O288"/>
  <c r="N288"/>
  <c r="V287"/>
  <c r="N287" s="1"/>
  <c r="O287"/>
  <c r="O286"/>
  <c r="N286"/>
  <c r="V285"/>
  <c r="N285" s="1"/>
  <c r="O285"/>
  <c r="O284"/>
  <c r="N284"/>
  <c r="V283"/>
  <c r="N283" s="1"/>
  <c r="O283"/>
  <c r="V282"/>
  <c r="N282" s="1"/>
  <c r="O282"/>
  <c r="O281"/>
  <c r="N281"/>
  <c r="V280"/>
  <c r="N280" s="1"/>
  <c r="O280"/>
  <c r="O279"/>
  <c r="N279"/>
  <c r="V278"/>
  <c r="N278" s="1"/>
  <c r="O278"/>
  <c r="V277"/>
  <c r="N277" s="1"/>
  <c r="O277"/>
  <c r="V276"/>
  <c r="N276" s="1"/>
  <c r="O276"/>
  <c r="V275"/>
  <c r="N275" s="1"/>
  <c r="O275"/>
  <c r="R274"/>
  <c r="N274" s="1"/>
  <c r="O274"/>
  <c r="O273"/>
  <c r="N273"/>
  <c r="R272"/>
  <c r="N272" s="1"/>
  <c r="O272"/>
  <c r="O271"/>
  <c r="N271"/>
  <c r="V270"/>
  <c r="N270" s="1"/>
  <c r="O270"/>
  <c r="V269"/>
  <c r="N269" s="1"/>
  <c r="O269"/>
  <c r="W268"/>
  <c r="U268"/>
  <c r="T268"/>
  <c r="S268"/>
  <c r="Q268"/>
  <c r="P268"/>
  <c r="V267"/>
  <c r="N267" s="1"/>
  <c r="O267"/>
  <c r="O266"/>
  <c r="N266"/>
  <c r="V265"/>
  <c r="N265" s="1"/>
  <c r="O265"/>
  <c r="V264"/>
  <c r="N264" s="1"/>
  <c r="O264"/>
  <c r="O263"/>
  <c r="N263"/>
  <c r="O262"/>
  <c r="N262"/>
  <c r="V261"/>
  <c r="N261" s="1"/>
  <c r="O261"/>
  <c r="O260"/>
  <c r="N260"/>
  <c r="V259"/>
  <c r="N259" s="1"/>
  <c r="O259"/>
  <c r="V258"/>
  <c r="N258" s="1"/>
  <c r="O258"/>
  <c r="O257"/>
  <c r="N257"/>
  <c r="O256"/>
  <c r="N256"/>
  <c r="O255"/>
  <c r="N255"/>
  <c r="V254"/>
  <c r="N254" s="1"/>
  <c r="O254"/>
  <c r="O253"/>
  <c r="N253"/>
  <c r="O252"/>
  <c r="N252"/>
  <c r="O251"/>
  <c r="N251"/>
  <c r="O250"/>
  <c r="N250"/>
  <c r="V249"/>
  <c r="N249" s="1"/>
  <c r="O249"/>
  <c r="V248"/>
  <c r="N248" s="1"/>
  <c r="O248"/>
  <c r="V247"/>
  <c r="N247" s="1"/>
  <c r="O247"/>
  <c r="V246"/>
  <c r="N246" s="1"/>
  <c r="O246"/>
  <c r="V245"/>
  <c r="N245" s="1"/>
  <c r="O245"/>
  <c r="V244"/>
  <c r="N244" s="1"/>
  <c r="O244"/>
  <c r="V243"/>
  <c r="N243" s="1"/>
  <c r="O243"/>
  <c r="V242"/>
  <c r="N242" s="1"/>
  <c r="O242"/>
  <c r="O241"/>
  <c r="N241"/>
  <c r="R240"/>
  <c r="N240" s="1"/>
  <c r="O240"/>
  <c r="O239"/>
  <c r="N239"/>
  <c r="O238"/>
  <c r="N238"/>
  <c r="R237"/>
  <c r="N237" s="1"/>
  <c r="O237"/>
  <c r="V236"/>
  <c r="N236" s="1"/>
  <c r="O236"/>
  <c r="V235"/>
  <c r="N235" s="1"/>
  <c r="O235"/>
  <c r="V234"/>
  <c r="O234"/>
  <c r="V233"/>
  <c r="N233" s="1"/>
  <c r="O233"/>
  <c r="V232"/>
  <c r="N232" s="1"/>
  <c r="O232"/>
  <c r="W231"/>
  <c r="U231"/>
  <c r="T231"/>
  <c r="S231"/>
  <c r="Q231"/>
  <c r="P231"/>
  <c r="V227"/>
  <c r="N227" s="1"/>
  <c r="N226" s="1"/>
  <c r="O227"/>
  <c r="O226" s="1"/>
  <c r="W226"/>
  <c r="U226"/>
  <c r="T226"/>
  <c r="S226"/>
  <c r="R226"/>
  <c r="Q226"/>
  <c r="P226"/>
  <c r="O225"/>
  <c r="N225"/>
  <c r="V224"/>
  <c r="N224" s="1"/>
  <c r="O224"/>
  <c r="O223"/>
  <c r="N223"/>
  <c r="V222"/>
  <c r="O222"/>
  <c r="W221"/>
  <c r="U221"/>
  <c r="T221"/>
  <c r="S221"/>
  <c r="R221"/>
  <c r="Q221"/>
  <c r="P221"/>
  <c r="V220"/>
  <c r="N220" s="1"/>
  <c r="N217" s="1"/>
  <c r="O220"/>
  <c r="O217" s="1"/>
  <c r="O219"/>
  <c r="N219"/>
  <c r="O218"/>
  <c r="N218"/>
  <c r="W217"/>
  <c r="U217"/>
  <c r="T217"/>
  <c r="S217"/>
  <c r="R217"/>
  <c r="Q217"/>
  <c r="P217"/>
  <c r="V216"/>
  <c r="N216" s="1"/>
  <c r="N214" s="1"/>
  <c r="O216"/>
  <c r="O214" s="1"/>
  <c r="W214"/>
  <c r="U214"/>
  <c r="T214"/>
  <c r="S214"/>
  <c r="R214"/>
  <c r="Q214"/>
  <c r="P214"/>
  <c r="O213"/>
  <c r="N213"/>
  <c r="O212"/>
  <c r="N212"/>
  <c r="V211"/>
  <c r="N211" s="1"/>
  <c r="O211"/>
  <c r="O210"/>
  <c r="N210"/>
  <c r="V209"/>
  <c r="N209" s="1"/>
  <c r="O209"/>
  <c r="O208"/>
  <c r="N208"/>
  <c r="O207"/>
  <c r="N207"/>
  <c r="V206"/>
  <c r="N206" s="1"/>
  <c r="O206"/>
  <c r="V205"/>
  <c r="N205" s="1"/>
  <c r="O205"/>
  <c r="V204"/>
  <c r="N204" s="1"/>
  <c r="O204"/>
  <c r="V203"/>
  <c r="N203" s="1"/>
  <c r="O203"/>
  <c r="O202"/>
  <c r="N202"/>
  <c r="W201"/>
  <c r="U201"/>
  <c r="T201"/>
  <c r="S201"/>
  <c r="R201"/>
  <c r="Q201"/>
  <c r="P201"/>
  <c r="V198"/>
  <c r="N198" s="1"/>
  <c r="N197" s="1"/>
  <c r="O198"/>
  <c r="O197" s="1"/>
  <c r="W197"/>
  <c r="U197"/>
  <c r="T197"/>
  <c r="S197"/>
  <c r="R197"/>
  <c r="Q197"/>
  <c r="P197"/>
  <c r="O196"/>
  <c r="O194" s="1"/>
  <c r="N196"/>
  <c r="N194" s="1"/>
  <c r="W194"/>
  <c r="V194"/>
  <c r="U194"/>
  <c r="T194"/>
  <c r="S194"/>
  <c r="R194"/>
  <c r="Q194"/>
  <c r="P194"/>
  <c r="R193"/>
  <c r="O193"/>
  <c r="O192" s="1"/>
  <c r="O191"/>
  <c r="N191"/>
  <c r="O190"/>
  <c r="N190"/>
  <c r="W189"/>
  <c r="V189"/>
  <c r="U189"/>
  <c r="T189"/>
  <c r="S189"/>
  <c r="R189"/>
  <c r="Q189"/>
  <c r="P189"/>
  <c r="O188"/>
  <c r="N188"/>
  <c r="V187"/>
  <c r="R187"/>
  <c r="R174" s="1"/>
  <c r="O187"/>
  <c r="V186"/>
  <c r="N186" s="1"/>
  <c r="O186"/>
  <c r="V185"/>
  <c r="N185" s="1"/>
  <c r="O185"/>
  <c r="V184"/>
  <c r="N184" s="1"/>
  <c r="O184"/>
  <c r="O183"/>
  <c r="N183"/>
  <c r="O182"/>
  <c r="N182"/>
  <c r="O181"/>
  <c r="N181"/>
  <c r="O180"/>
  <c r="N180"/>
  <c r="V179"/>
  <c r="N179" s="1"/>
  <c r="O179"/>
  <c r="V178"/>
  <c r="N178" s="1"/>
  <c r="O178"/>
  <c r="V177"/>
  <c r="N177" s="1"/>
  <c r="O177"/>
  <c r="V176"/>
  <c r="N176" s="1"/>
  <c r="O176"/>
  <c r="V175"/>
  <c r="O175"/>
  <c r="O173"/>
  <c r="N173"/>
  <c r="V172"/>
  <c r="N172" s="1"/>
  <c r="O172"/>
  <c r="V171"/>
  <c r="N171" s="1"/>
  <c r="O171"/>
  <c r="V170"/>
  <c r="N170" s="1"/>
  <c r="O170"/>
  <c r="V167"/>
  <c r="N167" s="1"/>
  <c r="O167"/>
  <c r="V166"/>
  <c r="N166" s="1"/>
  <c r="O166"/>
  <c r="O165"/>
  <c r="N165"/>
  <c r="V164"/>
  <c r="N164" s="1"/>
  <c r="O164"/>
  <c r="R163"/>
  <c r="O163"/>
  <c r="V162"/>
  <c r="N162" s="1"/>
  <c r="O162"/>
  <c r="O161"/>
  <c r="N161"/>
  <c r="V160"/>
  <c r="N160" s="1"/>
  <c r="O160"/>
  <c r="V159"/>
  <c r="N159" s="1"/>
  <c r="O159"/>
  <c r="V157"/>
  <c r="N157" s="1"/>
  <c r="O157"/>
  <c r="O156"/>
  <c r="N156"/>
  <c r="V155"/>
  <c r="N155" s="1"/>
  <c r="O155"/>
  <c r="V154"/>
  <c r="V153" s="1"/>
  <c r="O154"/>
  <c r="O152"/>
  <c r="N152"/>
  <c r="O151"/>
  <c r="N151"/>
  <c r="V150"/>
  <c r="N150" s="1"/>
  <c r="O150"/>
  <c r="V149"/>
  <c r="N149" s="1"/>
  <c r="O149"/>
  <c r="V148"/>
  <c r="O148"/>
  <c r="V147"/>
  <c r="N147" s="1"/>
  <c r="O147"/>
  <c r="O146"/>
  <c r="N146"/>
  <c r="W145"/>
  <c r="U145"/>
  <c r="T145"/>
  <c r="S145"/>
  <c r="R145"/>
  <c r="Q145"/>
  <c r="P145"/>
  <c r="V144"/>
  <c r="N144" s="1"/>
  <c r="O144"/>
  <c r="V143"/>
  <c r="N143" s="1"/>
  <c r="O143"/>
  <c r="V142"/>
  <c r="N142" s="1"/>
  <c r="O142"/>
  <c r="V141"/>
  <c r="N141" s="1"/>
  <c r="O141"/>
  <c r="O140"/>
  <c r="N140"/>
  <c r="V139"/>
  <c r="O139"/>
  <c r="V138"/>
  <c r="N138" s="1"/>
  <c r="O138"/>
  <c r="W137"/>
  <c r="U137"/>
  <c r="T137"/>
  <c r="S137"/>
  <c r="R137"/>
  <c r="Q137"/>
  <c r="P137"/>
  <c r="V135"/>
  <c r="N135" s="1"/>
  <c r="O135"/>
  <c r="O134"/>
  <c r="N134"/>
  <c r="V133"/>
  <c r="N133" s="1"/>
  <c r="O133"/>
  <c r="V132"/>
  <c r="N132" s="1"/>
  <c r="O132"/>
  <c r="O131"/>
  <c r="N131"/>
  <c r="O130"/>
  <c r="N130"/>
  <c r="O129"/>
  <c r="N129"/>
  <c r="O128"/>
  <c r="N128"/>
  <c r="O127"/>
  <c r="N127"/>
  <c r="O126"/>
  <c r="N126"/>
  <c r="O125"/>
  <c r="N125"/>
  <c r="V124"/>
  <c r="N124" s="1"/>
  <c r="O124"/>
  <c r="V123"/>
  <c r="N123" s="1"/>
  <c r="O123"/>
  <c r="V122"/>
  <c r="O122"/>
  <c r="V121"/>
  <c r="N121" s="1"/>
  <c r="O121"/>
  <c r="W118"/>
  <c r="U118"/>
  <c r="T118"/>
  <c r="S118"/>
  <c r="R118"/>
  <c r="V117"/>
  <c r="N117" s="1"/>
  <c r="O117"/>
  <c r="O116"/>
  <c r="N116"/>
  <c r="O115"/>
  <c r="N115"/>
  <c r="V114"/>
  <c r="N114" s="1"/>
  <c r="O114"/>
  <c r="V113"/>
  <c r="N113" s="1"/>
  <c r="O113"/>
  <c r="V112"/>
  <c r="N112" s="1"/>
  <c r="O112"/>
  <c r="V111"/>
  <c r="N111" s="1"/>
  <c r="O111"/>
  <c r="V110"/>
  <c r="N110" s="1"/>
  <c r="O110"/>
  <c r="V109"/>
  <c r="N109" s="1"/>
  <c r="O109"/>
  <c r="V108"/>
  <c r="N108" s="1"/>
  <c r="O108"/>
  <c r="V107"/>
  <c r="O107"/>
  <c r="O106"/>
  <c r="N106"/>
  <c r="O105"/>
  <c r="N105"/>
  <c r="R104"/>
  <c r="P104"/>
  <c r="O104"/>
  <c r="O103"/>
  <c r="N103"/>
  <c r="O102"/>
  <c r="N102"/>
  <c r="O101"/>
  <c r="N101"/>
  <c r="O100"/>
  <c r="N100"/>
  <c r="O99"/>
  <c r="N99"/>
  <c r="P98"/>
  <c r="N98" s="1"/>
  <c r="O98"/>
  <c r="O97"/>
  <c r="N97"/>
  <c r="R96"/>
  <c r="N96" s="1"/>
  <c r="O96"/>
  <c r="V95"/>
  <c r="R95"/>
  <c r="O95"/>
  <c r="V93"/>
  <c r="N93" s="1"/>
  <c r="O93"/>
  <c r="V92"/>
  <c r="N92" s="1"/>
  <c r="O92"/>
  <c r="V91"/>
  <c r="N91" s="1"/>
  <c r="O91"/>
  <c r="V90"/>
  <c r="N90" s="1"/>
  <c r="O90"/>
  <c r="O89"/>
  <c r="N89"/>
  <c r="V88"/>
  <c r="N88" s="1"/>
  <c r="O88"/>
  <c r="V87"/>
  <c r="N87" s="1"/>
  <c r="O87"/>
  <c r="V86"/>
  <c r="N86" s="1"/>
  <c r="O86"/>
  <c r="O85"/>
  <c r="N85"/>
  <c r="V84"/>
  <c r="N84" s="1"/>
  <c r="O84"/>
  <c r="V83"/>
  <c r="N83" s="1"/>
  <c r="O83"/>
  <c r="V82"/>
  <c r="N82" s="1"/>
  <c r="O82"/>
  <c r="V81"/>
  <c r="O81"/>
  <c r="O80"/>
  <c r="O79"/>
  <c r="O78"/>
  <c r="O76"/>
  <c r="N76"/>
  <c r="O75"/>
  <c r="N75"/>
  <c r="O74"/>
  <c r="N74"/>
  <c r="O72"/>
  <c r="N72"/>
  <c r="O71"/>
  <c r="N71"/>
  <c r="V70"/>
  <c r="N70" s="1"/>
  <c r="O70"/>
  <c r="V69"/>
  <c r="O69"/>
  <c r="V68"/>
  <c r="N68" s="1"/>
  <c r="O68"/>
  <c r="W67"/>
  <c r="U67"/>
  <c r="T67"/>
  <c r="S67"/>
  <c r="R67"/>
  <c r="Q67"/>
  <c r="P67"/>
  <c r="O66"/>
  <c r="N66"/>
  <c r="O65"/>
  <c r="N65"/>
  <c r="W64"/>
  <c r="V64"/>
  <c r="U64"/>
  <c r="T64"/>
  <c r="S64"/>
  <c r="R64"/>
  <c r="Q64"/>
  <c r="P64"/>
  <c r="R63"/>
  <c r="R51" s="1"/>
  <c r="P63"/>
  <c r="P51" s="1"/>
  <c r="O63"/>
  <c r="O62"/>
  <c r="N62"/>
  <c r="O61"/>
  <c r="N61"/>
  <c r="V60"/>
  <c r="N60" s="1"/>
  <c r="O60"/>
  <c r="V59"/>
  <c r="N59" s="1"/>
  <c r="O59"/>
  <c r="O58"/>
  <c r="N58"/>
  <c r="O57"/>
  <c r="N57"/>
  <c r="V56"/>
  <c r="N56" s="1"/>
  <c r="O56"/>
  <c r="V55"/>
  <c r="O55"/>
  <c r="O54"/>
  <c r="N54"/>
  <c r="O53"/>
  <c r="N53"/>
  <c r="O52"/>
  <c r="N52"/>
  <c r="V50"/>
  <c r="N50" s="1"/>
  <c r="O50"/>
  <c r="R49"/>
  <c r="N49" s="1"/>
  <c r="O49"/>
  <c r="O48"/>
  <c r="N48"/>
  <c r="O47"/>
  <c r="N47"/>
  <c r="V46"/>
  <c r="N46" s="1"/>
  <c r="O46"/>
  <c r="V45"/>
  <c r="O45"/>
  <c r="V44"/>
  <c r="N44" s="1"/>
  <c r="O44"/>
  <c r="V43"/>
  <c r="N43" s="1"/>
  <c r="O43"/>
  <c r="O42"/>
  <c r="N42"/>
  <c r="R41"/>
  <c r="N41" s="1"/>
  <c r="O41"/>
  <c r="O39"/>
  <c r="O38"/>
  <c r="O36"/>
  <c r="N36"/>
  <c r="V35"/>
  <c r="N35" s="1"/>
  <c r="O35"/>
  <c r="V34"/>
  <c r="N34" s="1"/>
  <c r="O34"/>
  <c r="O33"/>
  <c r="N33"/>
  <c r="O32"/>
  <c r="N32"/>
  <c r="O31"/>
  <c r="N31"/>
  <c r="O30"/>
  <c r="N30"/>
  <c r="V28"/>
  <c r="N28" s="1"/>
  <c r="O28"/>
  <c r="O27"/>
  <c r="N27"/>
  <c r="V26"/>
  <c r="N26" s="1"/>
  <c r="O26"/>
  <c r="O25"/>
  <c r="N25"/>
  <c r="V24"/>
  <c r="N24" s="1"/>
  <c r="O24"/>
  <c r="O23"/>
  <c r="N23"/>
  <c r="O22"/>
  <c r="N22"/>
  <c r="V21"/>
  <c r="N21" s="1"/>
  <c r="O21"/>
  <c r="O20"/>
  <c r="N20"/>
  <c r="O19"/>
  <c r="N19"/>
  <c r="V18"/>
  <c r="N18" s="1"/>
  <c r="O18"/>
  <c r="O17"/>
  <c r="N17"/>
  <c r="W16"/>
  <c r="U16"/>
  <c r="T16"/>
  <c r="S16"/>
  <c r="R16"/>
  <c r="Q16"/>
  <c r="P16"/>
  <c r="N337" l="1"/>
  <c r="V334"/>
  <c r="V332" s="1"/>
  <c r="O334"/>
  <c r="AM334"/>
  <c r="AM332" s="1"/>
  <c r="N334"/>
  <c r="AH334"/>
  <c r="AC153"/>
  <c r="N193"/>
  <c r="N192" s="1"/>
  <c r="R192"/>
  <c r="O153"/>
  <c r="AM153"/>
  <c r="N163"/>
  <c r="R153"/>
  <c r="AH153"/>
  <c r="AC51"/>
  <c r="O51"/>
  <c r="V51"/>
  <c r="X51"/>
  <c r="AH63"/>
  <c r="AH51" s="1"/>
  <c r="AM294"/>
  <c r="AM358"/>
  <c r="N55"/>
  <c r="N297"/>
  <c r="V294"/>
  <c r="O294"/>
  <c r="AC294"/>
  <c r="AC358"/>
  <c r="AH294"/>
  <c r="AH358"/>
  <c r="X294"/>
  <c r="X358"/>
  <c r="N359"/>
  <c r="R358"/>
  <c r="O358"/>
  <c r="N305"/>
  <c r="V174"/>
  <c r="AM174"/>
  <c r="AC174"/>
  <c r="X174"/>
  <c r="AH174"/>
  <c r="O174"/>
  <c r="X118"/>
  <c r="AF14"/>
  <c r="AH118"/>
  <c r="AM118"/>
  <c r="AC118"/>
  <c r="R94"/>
  <c r="O94"/>
  <c r="V94"/>
  <c r="P94"/>
  <c r="AH112"/>
  <c r="AH94" s="1"/>
  <c r="N107"/>
  <c r="X110"/>
  <c r="X94" s="1"/>
  <c r="AM112"/>
  <c r="AM94" s="1"/>
  <c r="AC112"/>
  <c r="AC94" s="1"/>
  <c r="W14"/>
  <c r="O77"/>
  <c r="X88"/>
  <c r="X77" s="1"/>
  <c r="AB77"/>
  <c r="V77"/>
  <c r="AC91"/>
  <c r="AC77" s="1"/>
  <c r="AM91"/>
  <c r="AM77" s="1"/>
  <c r="X40"/>
  <c r="N63"/>
  <c r="O29"/>
  <c r="N29"/>
  <c r="O40"/>
  <c r="AC40"/>
  <c r="AM40"/>
  <c r="AH40"/>
  <c r="V40"/>
  <c r="R40"/>
  <c r="X29"/>
  <c r="AM29"/>
  <c r="AC29"/>
  <c r="AH29"/>
  <c r="V29"/>
  <c r="O73"/>
  <c r="AC395"/>
  <c r="AM221"/>
  <c r="AN419"/>
  <c r="AM73"/>
  <c r="N73"/>
  <c r="AC391"/>
  <c r="AH189"/>
  <c r="X73"/>
  <c r="AM64"/>
  <c r="AH145"/>
  <c r="AM391"/>
  <c r="N187"/>
  <c r="O308"/>
  <c r="N332"/>
  <c r="N321" s="1"/>
  <c r="O409"/>
  <c r="AC73"/>
  <c r="X145"/>
  <c r="AH73"/>
  <c r="P419"/>
  <c r="V197"/>
  <c r="N386"/>
  <c r="AC137"/>
  <c r="AC311"/>
  <c r="AC314"/>
  <c r="AE343"/>
  <c r="AB343"/>
  <c r="AC376"/>
  <c r="AH64"/>
  <c r="AH67"/>
  <c r="AH376"/>
  <c r="O427"/>
  <c r="N189"/>
  <c r="O386"/>
  <c r="R406"/>
  <c r="X16"/>
  <c r="X314"/>
  <c r="AG322"/>
  <c r="AG321" s="1"/>
  <c r="X386"/>
  <c r="X400"/>
  <c r="Y419"/>
  <c r="AD419"/>
  <c r="AM231"/>
  <c r="AM349"/>
  <c r="AQ419"/>
  <c r="AL229"/>
  <c r="N64"/>
  <c r="N95"/>
  <c r="O231"/>
  <c r="R386"/>
  <c r="AC64"/>
  <c r="X189"/>
  <c r="AC221"/>
  <c r="AC409"/>
  <c r="Z419"/>
  <c r="AM63"/>
  <c r="AM51" s="1"/>
  <c r="AH332"/>
  <c r="AH395"/>
  <c r="AH400"/>
  <c r="AH432"/>
  <c r="V343"/>
  <c r="X231"/>
  <c r="AP343"/>
  <c r="O64"/>
  <c r="O311"/>
  <c r="N313"/>
  <c r="T419"/>
  <c r="O421"/>
  <c r="R427"/>
  <c r="AC189"/>
  <c r="X409"/>
  <c r="X427"/>
  <c r="X432"/>
  <c r="AH16"/>
  <c r="AN229"/>
  <c r="AH231"/>
  <c r="AH308"/>
  <c r="AM395"/>
  <c r="AM409"/>
  <c r="AM427"/>
  <c r="AM432"/>
  <c r="S14"/>
  <c r="V314"/>
  <c r="O391"/>
  <c r="O432"/>
  <c r="X64"/>
  <c r="X67"/>
  <c r="X137"/>
  <c r="AC201"/>
  <c r="AD229"/>
  <c r="X268"/>
  <c r="AC349"/>
  <c r="X376"/>
  <c r="AB419"/>
  <c r="AG419"/>
  <c r="AC427"/>
  <c r="AH137"/>
  <c r="AM201"/>
  <c r="AH221"/>
  <c r="AO229"/>
  <c r="AM268"/>
  <c r="AM308"/>
  <c r="AM311"/>
  <c r="AK343"/>
  <c r="AJ419"/>
  <c r="AO419"/>
  <c r="AM421"/>
  <c r="O118"/>
  <c r="V214"/>
  <c r="V221"/>
  <c r="N349"/>
  <c r="S419"/>
  <c r="AC145"/>
  <c r="AE201"/>
  <c r="AA343"/>
  <c r="X395"/>
  <c r="AM137"/>
  <c r="AH268"/>
  <c r="AH311"/>
  <c r="AH314"/>
  <c r="AH386"/>
  <c r="AH391"/>
  <c r="AH409"/>
  <c r="AI419"/>
  <c r="AH421"/>
  <c r="AH427"/>
  <c r="Q229"/>
  <c r="X332"/>
  <c r="AO343"/>
  <c r="V67"/>
  <c r="N104"/>
  <c r="O145"/>
  <c r="U229"/>
  <c r="N312"/>
  <c r="S343"/>
  <c r="AB201"/>
  <c r="X221"/>
  <c r="Z229"/>
  <c r="AF343"/>
  <c r="X421"/>
  <c r="AH201"/>
  <c r="AJ229"/>
  <c r="AK229"/>
  <c r="AP229"/>
  <c r="AL343"/>
  <c r="Q14"/>
  <c r="V118"/>
  <c r="N118" s="1"/>
  <c r="O137"/>
  <c r="O201"/>
  <c r="O221"/>
  <c r="S229"/>
  <c r="T229"/>
  <c r="W343"/>
  <c r="AA229"/>
  <c r="AF229"/>
  <c r="Z343"/>
  <c r="AD343"/>
  <c r="AI229"/>
  <c r="AQ229"/>
  <c r="O16"/>
  <c r="V137"/>
  <c r="V226"/>
  <c r="W229"/>
  <c r="O268"/>
  <c r="V308"/>
  <c r="R311"/>
  <c r="Q343"/>
  <c r="U343"/>
  <c r="O349"/>
  <c r="R376"/>
  <c r="N391"/>
  <c r="R400"/>
  <c r="Q419"/>
  <c r="N427"/>
  <c r="AC16"/>
  <c r="AE229"/>
  <c r="AC231"/>
  <c r="X311"/>
  <c r="Y343"/>
  <c r="AG343"/>
  <c r="X349"/>
  <c r="AC386"/>
  <c r="AC400"/>
  <c r="AA419"/>
  <c r="AF419"/>
  <c r="AC432"/>
  <c r="AH91"/>
  <c r="AH77" s="1"/>
  <c r="AM145"/>
  <c r="AM189"/>
  <c r="AJ343"/>
  <c r="AN343"/>
  <c r="AM376"/>
  <c r="AL419"/>
  <c r="N201"/>
  <c r="N231"/>
  <c r="N409"/>
  <c r="N432"/>
  <c r="U14"/>
  <c r="O67"/>
  <c r="V145"/>
  <c r="O189"/>
  <c r="V201"/>
  <c r="V231"/>
  <c r="N308"/>
  <c r="O314"/>
  <c r="O332"/>
  <c r="T343"/>
  <c r="O376"/>
  <c r="O395"/>
  <c r="O400"/>
  <c r="N400"/>
  <c r="R409"/>
  <c r="V419"/>
  <c r="R432"/>
  <c r="AC67"/>
  <c r="X201"/>
  <c r="AC268"/>
  <c r="Y229"/>
  <c r="AG229"/>
  <c r="AC308"/>
  <c r="AC332"/>
  <c r="X391"/>
  <c r="AE419"/>
  <c r="AC421"/>
  <c r="AM16"/>
  <c r="AM67"/>
  <c r="AM314"/>
  <c r="AI343"/>
  <c r="AQ343"/>
  <c r="AH349"/>
  <c r="AM386"/>
  <c r="AM400"/>
  <c r="AK419"/>
  <c r="AP419"/>
  <c r="AP321"/>
  <c r="AO322"/>
  <c r="AO321" s="1"/>
  <c r="AQ322"/>
  <c r="AQ321" s="1"/>
  <c r="AF322"/>
  <c r="AF321" s="1"/>
  <c r="AC322"/>
  <c r="AB322"/>
  <c r="AB321" s="1"/>
  <c r="X308"/>
  <c r="W322"/>
  <c r="W321" s="1"/>
  <c r="AD322"/>
  <c r="AD321" s="1"/>
  <c r="AB308"/>
  <c r="AB229" s="1"/>
  <c r="AE322"/>
  <c r="AE321" s="1"/>
  <c r="T322"/>
  <c r="T321" s="1"/>
  <c r="N421"/>
  <c r="S322"/>
  <c r="S321" s="1"/>
  <c r="N16"/>
  <c r="N268"/>
  <c r="N395"/>
  <c r="R231"/>
  <c r="P349"/>
  <c r="P343" s="1"/>
  <c r="N45"/>
  <c r="N40" s="1"/>
  <c r="N69"/>
  <c r="N67" s="1"/>
  <c r="N81"/>
  <c r="N77" s="1"/>
  <c r="N122"/>
  <c r="N139"/>
  <c r="N137" s="1"/>
  <c r="N148"/>
  <c r="N145" s="1"/>
  <c r="N154"/>
  <c r="N175"/>
  <c r="N222"/>
  <c r="N221" s="1"/>
  <c r="R268"/>
  <c r="V268"/>
  <c r="N298"/>
  <c r="N316"/>
  <c r="N314" s="1"/>
  <c r="V322"/>
  <c r="N361"/>
  <c r="N377"/>
  <c r="N376" s="1"/>
  <c r="R391"/>
  <c r="V16"/>
  <c r="V217"/>
  <c r="P311"/>
  <c r="P229" s="1"/>
  <c r="R314"/>
  <c r="U322"/>
  <c r="U321" s="1"/>
  <c r="R395"/>
  <c r="R421"/>
  <c r="N153" l="1"/>
  <c r="N51"/>
  <c r="N294"/>
  <c r="N358"/>
  <c r="N343" s="1"/>
  <c r="N174"/>
  <c r="T14"/>
  <c r="N94"/>
  <c r="AN449"/>
  <c r="AQ449"/>
  <c r="AM419"/>
  <c r="AB449"/>
  <c r="AL322"/>
  <c r="AL321" s="1"/>
  <c r="AJ449"/>
  <c r="AE449"/>
  <c r="AF449"/>
  <c r="AN322"/>
  <c r="AN321" s="1"/>
  <c r="AD449"/>
  <c r="N311"/>
  <c r="V449"/>
  <c r="O229"/>
  <c r="Y449"/>
  <c r="AO449"/>
  <c r="O419"/>
  <c r="AH229"/>
  <c r="W13"/>
  <c r="R419"/>
  <c r="N419"/>
  <c r="AP449"/>
  <c r="AH343"/>
  <c r="X419"/>
  <c r="S443"/>
  <c r="AP14"/>
  <c r="AP13" s="1"/>
  <c r="AQ14"/>
  <c r="AQ13" s="1"/>
  <c r="X343"/>
  <c r="X449" s="1"/>
  <c r="X450" s="1"/>
  <c r="AM343"/>
  <c r="AI449"/>
  <c r="T449"/>
  <c r="Z449"/>
  <c r="AH419"/>
  <c r="AB14"/>
  <c r="AB442" s="1"/>
  <c r="AK449"/>
  <c r="AC419"/>
  <c r="AL449"/>
  <c r="AA449"/>
  <c r="U13"/>
  <c r="X229"/>
  <c r="AM229"/>
  <c r="O343"/>
  <c r="V229"/>
  <c r="AG449"/>
  <c r="AC229"/>
  <c r="W442"/>
  <c r="O14"/>
  <c r="V321"/>
  <c r="AC343"/>
  <c r="R343"/>
  <c r="W443"/>
  <c r="AG14"/>
  <c r="AG13" s="1"/>
  <c r="AC321"/>
  <c r="AH322"/>
  <c r="AH321" s="1"/>
  <c r="AJ322"/>
  <c r="AJ321" s="1"/>
  <c r="AK14"/>
  <c r="AM322"/>
  <c r="AM321" s="1"/>
  <c r="AL14"/>
  <c r="X322"/>
  <c r="X321" s="1"/>
  <c r="Z322"/>
  <c r="Z321" s="1"/>
  <c r="S13"/>
  <c r="AA14"/>
  <c r="AF443"/>
  <c r="AF442"/>
  <c r="AF13"/>
  <c r="Y322"/>
  <c r="Y321" s="1"/>
  <c r="AA322"/>
  <c r="AA321" s="1"/>
  <c r="U442"/>
  <c r="S442"/>
  <c r="R229"/>
  <c r="U443"/>
  <c r="V14"/>
  <c r="O322"/>
  <c r="O321" s="1"/>
  <c r="Q322"/>
  <c r="Q321" s="1"/>
  <c r="P322"/>
  <c r="P321" s="1"/>
  <c r="R322"/>
  <c r="R321" s="1"/>
  <c r="N229" l="1"/>
  <c r="T443"/>
  <c r="T13"/>
  <c r="T442"/>
  <c r="AO14"/>
  <c r="AO13" s="1"/>
  <c r="AM449"/>
  <c r="AM450" s="1"/>
  <c r="AH449"/>
  <c r="AH450" s="1"/>
  <c r="AP442"/>
  <c r="AP443"/>
  <c r="AB443"/>
  <c r="AQ442"/>
  <c r="AQ443"/>
  <c r="AB13"/>
  <c r="AC449"/>
  <c r="AC450" s="1"/>
  <c r="AG442"/>
  <c r="AG443"/>
  <c r="O13"/>
  <c r="O443"/>
  <c r="R14"/>
  <c r="R443" s="1"/>
  <c r="O442"/>
  <c r="AE14"/>
  <c r="AE443" s="1"/>
  <c r="AI322"/>
  <c r="AI321" s="1"/>
  <c r="AK322"/>
  <c r="AK321" s="1"/>
  <c r="AK443" s="1"/>
  <c r="AJ14"/>
  <c r="AL443"/>
  <c r="AL13"/>
  <c r="AL442"/>
  <c r="Z14"/>
  <c r="AA442"/>
  <c r="AA443"/>
  <c r="AA13"/>
  <c r="Q13"/>
  <c r="Q443"/>
  <c r="Q442"/>
  <c r="V13"/>
  <c r="V442"/>
  <c r="V443"/>
  <c r="N14" l="1"/>
  <c r="N442" s="1"/>
  <c r="AC14"/>
  <c r="AO443"/>
  <c r="AO442"/>
  <c r="AN14"/>
  <c r="AN442" s="1"/>
  <c r="P14"/>
  <c r="P443" s="1"/>
  <c r="AE13"/>
  <c r="AE442"/>
  <c r="R13"/>
  <c r="R442"/>
  <c r="AJ442"/>
  <c r="AJ13"/>
  <c r="AJ443"/>
  <c r="AI14"/>
  <c r="AK442"/>
  <c r="AK13"/>
  <c r="Z442"/>
  <c r="Z13"/>
  <c r="Z443"/>
  <c r="Y14"/>
  <c r="AD14"/>
  <c r="X14" l="1"/>
  <c r="X442" s="1"/>
  <c r="AH14"/>
  <c r="AM14"/>
  <c r="AN13"/>
  <c r="AN443"/>
  <c r="P442"/>
  <c r="P13"/>
  <c r="N443"/>
  <c r="N453" s="1"/>
  <c r="N13"/>
  <c r="AI13"/>
  <c r="AI443"/>
  <c r="AI442"/>
  <c r="AC443"/>
  <c r="AC453" s="1"/>
  <c r="AC442"/>
  <c r="AC13"/>
  <c r="AD442"/>
  <c r="AD13"/>
  <c r="AD443"/>
  <c r="Y443"/>
  <c r="Y442"/>
  <c r="Y13"/>
  <c r="AH442" l="1"/>
  <c r="AH13"/>
  <c r="AH443"/>
  <c r="AH453" s="1"/>
  <c r="X443"/>
  <c r="X453" s="1"/>
  <c r="X13"/>
  <c r="AM443"/>
  <c r="AM453" s="1"/>
  <c r="AM13"/>
  <c r="AM442"/>
</calcChain>
</file>

<file path=xl/sharedStrings.xml><?xml version="1.0" encoding="utf-8"?>
<sst xmlns="http://schemas.openxmlformats.org/spreadsheetml/2006/main" count="1675" uniqueCount="938">
  <si>
    <t>Финансовый орган субъекта Российской Федерации</t>
  </si>
  <si>
    <t>Единица измерения: тыс. руб. (с точностью до первого десятичного знака)</t>
  </si>
  <si>
    <t>Наименование полномочия, расходного обязательства</t>
  </si>
  <si>
    <t>Код строки</t>
  </si>
  <si>
    <t>Правовое основание финансового обеспечения полномочия, расходного обязательства муниципального образования</t>
  </si>
  <si>
    <t>Код группы полномочий, расходных обязательств</t>
  </si>
  <si>
    <t>Код бюджетной классификации РФ
раздел\подраздел</t>
  </si>
  <si>
    <t>Нормативно-правовые аты, договоры, соглашения Российской Федерации</t>
  </si>
  <si>
    <t>Нормативно-правовые акты, договоры, соглашения субъекта Российской Федерации</t>
  </si>
  <si>
    <t>Нормативно-правовые акты, договоры, соглашения муниципального образования</t>
  </si>
  <si>
    <t>отчетный 2025</t>
  </si>
  <si>
    <t>наимено-вание, номер и дата</t>
  </si>
  <si>
    <t>номер статьи (подста-тьи), пункта (подпун-кта)</t>
  </si>
  <si>
    <t>дата вступле-ния в силу, срок действия</t>
  </si>
  <si>
    <t>номер статья (подстатья),пункта (подпункта)</t>
  </si>
  <si>
    <t>номер пункта (подпункта)</t>
  </si>
  <si>
    <t>Всего</t>
  </si>
  <si>
    <t>в т.ч за счет целевых средств федерального бюджета</t>
  </si>
  <si>
    <t xml:space="preserve">в т.ч. за счет целевых средств регионального бюджета </t>
  </si>
  <si>
    <t>в т.ч. за счет прочих безвозмездных поступлений, включая средства фондов</t>
  </si>
  <si>
    <t>в т.ч. за счет средств местных бюджетов</t>
  </si>
  <si>
    <t>утвержденные бюджетные назначения</t>
  </si>
  <si>
    <t>исполнено</t>
  </si>
  <si>
    <t>2</t>
  </si>
  <si>
    <t>31=33+35+37+39</t>
  </si>
  <si>
    <t>32=34+36+38+40</t>
  </si>
  <si>
    <t>2. Расходные обязательства, возникшие в результате принятия нормативных правовых актов городского округа, заключения договоров (соглашений), всего
из них:</t>
  </si>
  <si>
    <t>х</t>
  </si>
  <si>
    <t>2.1.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вопросов местного значения городского округа, всего</t>
  </si>
  <si>
    <t>в том числе:</t>
  </si>
  <si>
    <t>2.1.3. владение, пользование и распоряжение имуществом, находящимся в муниципальной собственности городского округа</t>
  </si>
  <si>
    <t xml:space="preserve">ст.16,17 ФЗ от 10.03.99 № 131-ФЗ "Об общих принципах организации местного самоуправления в РФ". </t>
  </si>
  <si>
    <t>ст.16,17</t>
  </si>
  <si>
    <t>01.01.2009, без срока</t>
  </si>
  <si>
    <t>Закон Красноярского края от 05.06.2008 № 5-1732 "О порядке безвозмездной передачи в муниципальную собственность имущества, находящегося в государственной собственности края, и безвозмездного приема имущества, находящегося в муниципальной собственности, в государственную собственность края"</t>
  </si>
  <si>
    <t>ст.в целом</t>
  </si>
  <si>
    <t>01.07.2008 - не установ</t>
  </si>
  <si>
    <t>Устав городского округа город Дивногорск Красноярского края</t>
  </si>
  <si>
    <t>0412
1010088030,244</t>
  </si>
  <si>
    <t>0412
1020088020,244</t>
  </si>
  <si>
    <t>0412
0550087140,244</t>
  </si>
  <si>
    <t>0113
8210084080,244</t>
  </si>
  <si>
    <t>0113
8210084080,247</t>
  </si>
  <si>
    <t>0113
8210084070.244</t>
  </si>
  <si>
    <t>0113
8210084070,247</t>
  </si>
  <si>
    <t>Федеральный закон от 21.12.2001 № 178-ФЗ "О приватизации государственного и муниципального имущества"</t>
  </si>
  <si>
    <t xml:space="preserve">ст.3 </t>
  </si>
  <si>
    <t>28.04.2002 - не установ</t>
  </si>
  <si>
    <t>Закон Красноярского края от 26.05.2009 № 8-3290 "О порядке разграничения имущества между муниципальными образованиями края"</t>
  </si>
  <si>
    <t>20.06.2009 - не установ</t>
  </si>
  <si>
    <t>0412
10100S6910.244</t>
  </si>
  <si>
    <t>Федеральный закон от 21.07.2007 № 185-ФЗ "О Фонде содействия реформированию жилищно-коммунального хозяйства"</t>
  </si>
  <si>
    <t>ст.14</t>
  </si>
  <si>
    <t>07.08.2007 - не установ</t>
  </si>
  <si>
    <t>Постановление  администрации Красноярского  края от 06.04.2000 № 255-п "Об утверждении Положения по установлению ставок для проведения паспортизации и плановой технической инвентаризации жилых строений и жилых помещений"</t>
  </si>
  <si>
    <t>30.04.2000 - не установ</t>
  </si>
  <si>
    <t>01.01.2008 - не установ</t>
  </si>
  <si>
    <t>0113
1010088010,244</t>
  </si>
  <si>
    <t>0113
1010088010,852</t>
  </si>
  <si>
    <t>0104
8210080030.831</t>
  </si>
  <si>
    <t>ГК РФ (ч.2) №14-ФЗ от 26.01.1996</t>
  </si>
  <si>
    <t>ст.1069,       1070</t>
  </si>
  <si>
    <t>с 01.03.1996</t>
  </si>
  <si>
    <t>Устав МО город Дивногорск, принят 17.12.1995,Распоряжение администрации города Дивногорска от 01.12.2017 №2696р, от 09.04.18 №832р, от 13.04.18 №856р, от 05.07.18 №1577р,1576р, от17.09.18 №2088р "Об исполнении требований исполнительного документа", ,Распоряжение администрации города Дивногорска от 01.12.2017 №2696р "Об исполнении требований исполнительного документа"</t>
  </si>
  <si>
    <t xml:space="preserve"> п.28 ст.43 Устава</t>
  </si>
  <si>
    <t>0113
8210080020,831</t>
  </si>
  <si>
    <t>2.1.4. 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</si>
  <si>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ст. в целом</t>
  </si>
  <si>
    <t>0502
08100S5710,243,244</t>
  </si>
  <si>
    <t>0502
0830084090.244</t>
  </si>
  <si>
    <t>0502
08100S6640.243</t>
  </si>
  <si>
    <t>0502
8210084080.244</t>
  </si>
  <si>
    <t>0503
0830084020,244</t>
  </si>
  <si>
    <t>0503
083008402Е,247</t>
  </si>
  <si>
    <t>0502
0810089480.243</t>
  </si>
  <si>
    <t>0502
081008948.244</t>
  </si>
  <si>
    <t>0502
0850089080,244</t>
  </si>
  <si>
    <t>0502
0850089420,244</t>
  </si>
  <si>
    <t>2.1.6. 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городского округа,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</si>
  <si>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</si>
  <si>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ст. 13, 34
ст.6, пункт 9</t>
  </si>
  <si>
    <t>12.11.2007 - не установ</t>
  </si>
  <si>
    <t>Закон Красноярского края от 10.11.2011 № 13-6411 "О дорожном фонде Красноярского края"</t>
  </si>
  <si>
    <t>01.01.2012 - не установ</t>
  </si>
  <si>
    <r>
      <t xml:space="preserve">0409
</t>
    </r>
    <r>
      <rPr>
        <b/>
        <sz val="8"/>
        <rFont val="Times New Roman"/>
        <family val="1"/>
        <charset val="204"/>
      </rPr>
      <t>07100SD14</t>
    </r>
    <r>
      <rPr>
        <sz val="8"/>
        <rFont val="Times New Roman"/>
        <family val="1"/>
        <charset val="204"/>
      </rPr>
      <t>0,244</t>
    </r>
  </si>
  <si>
    <t>ст. 16.17</t>
  </si>
  <si>
    <t>01.01.2009.без срока</t>
  </si>
  <si>
    <r>
      <t xml:space="preserve">0409
</t>
    </r>
    <r>
      <rPr>
        <b/>
        <sz val="8"/>
        <rFont val="Times New Roman"/>
        <family val="1"/>
        <charset val="204"/>
      </rPr>
      <t>07100SD160</t>
    </r>
    <r>
      <rPr>
        <sz val="8"/>
        <rFont val="Times New Roman"/>
        <family val="1"/>
        <charset val="204"/>
      </rPr>
      <t>,244</t>
    </r>
  </si>
  <si>
    <t>0409
0710085080,244</t>
  </si>
  <si>
    <t>0409
0710088070</t>
  </si>
  <si>
    <t>0409
0710086080,244</t>
  </si>
  <si>
    <t>0409
0710088170,244</t>
  </si>
  <si>
    <t>0409
0710089380,244</t>
  </si>
  <si>
    <t>0409
0710089080,244</t>
  </si>
  <si>
    <t>0409
07100S6640.244</t>
  </si>
  <si>
    <t>0409
0730089300</t>
  </si>
  <si>
    <t>2.1.7. 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</si>
  <si>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в целом</t>
  </si>
  <si>
    <t>0502
05200S4610,414</t>
  </si>
  <si>
    <r>
      <t>0501
053F367483/</t>
    </r>
    <r>
      <rPr>
        <b/>
        <sz val="8"/>
        <rFont val="Times New Roman"/>
        <family val="1"/>
        <charset val="204"/>
      </rPr>
      <t>053И267483</t>
    </r>
    <r>
      <rPr>
        <sz val="8"/>
        <rFont val="Times New Roman"/>
        <family val="1"/>
        <charset val="204"/>
      </rPr>
      <t>,410</t>
    </r>
  </si>
  <si>
    <r>
      <t>0501
053F367484</t>
    </r>
    <r>
      <rPr>
        <b/>
        <sz val="8"/>
        <rFont val="Times New Roman"/>
        <family val="1"/>
        <charset val="204"/>
      </rPr>
      <t>/053И267484</t>
    </r>
    <r>
      <rPr>
        <sz val="8"/>
        <rFont val="Times New Roman"/>
        <family val="1"/>
        <charset val="204"/>
      </rPr>
      <t>,410</t>
    </r>
  </si>
  <si>
    <r>
      <t>0501
0830084060,</t>
    </r>
    <r>
      <rPr>
        <b/>
        <sz val="8"/>
        <rFont val="Times New Roman"/>
        <family val="1"/>
        <charset val="204"/>
      </rPr>
      <t>244</t>
    </r>
  </si>
  <si>
    <t>0501
0810084070,244</t>
  </si>
  <si>
    <t>Федеральный закон от 06.10.2003 № 131-ФЗ "Об общих принципах организации местного самоуправления в Российской Федерации"</t>
  </si>
  <si>
    <t>ст.16; пункт 1, п/пункт 6</t>
  </si>
  <si>
    <t>01.01.2009 - не установ</t>
  </si>
  <si>
    <t>0501
8210010110.811</t>
  </si>
  <si>
    <t>0501
8210082480,244</t>
  </si>
  <si>
    <t>0502
8210084070,244</t>
  </si>
  <si>
    <t>0502
8210084070,247</t>
  </si>
  <si>
    <t>0501
8210084070,247</t>
  </si>
  <si>
    <t>0501
8210087650,412</t>
  </si>
  <si>
    <t>1003
05400L 4970,322</t>
  </si>
  <si>
    <t>2.1.10. 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автомобильного транспорта)</t>
  </si>
  <si>
    <t>ст. 7</t>
  </si>
  <si>
    <t>0408
0720088060,244</t>
  </si>
  <si>
    <t>0408
0720088060,811</t>
  </si>
  <si>
    <t>2.1.16. участие в предупреждении и ликвидации последствий чрезвычайных ситуаций в границах городского округа</t>
  </si>
  <si>
    <t>ФЗ от 06.10.2003 №131"Об общих принципах организации местного самоуправления в РФ"</t>
  </si>
  <si>
    <t>ст.11</t>
  </si>
  <si>
    <t>0111
8210088930,870</t>
  </si>
  <si>
    <t>Закон Красноярского края от 10.02.2000 № 9-631 "О защите населения и территории Красноярского края от чрезвычайных ситуаций природного и техногенного характера"</t>
  </si>
  <si>
    <t>ст.9, пункт 1, п/пункт "и"</t>
  </si>
  <si>
    <t>01.03.2000 - не установ</t>
  </si>
  <si>
    <t>Решение Дивногорского городского Совета депутатов от 13.11.2024 №52-314-нпа</t>
  </si>
  <si>
    <t>ст.38.43.52</t>
  </si>
  <si>
    <t>0111
8210089910,870</t>
  </si>
  <si>
    <t>Постановление Администрации города Дивногорска от 28.08.2025 №108п "Об утверждении Порядка использования бюджетных ассигнований резервного фонда администрации города Дивногорска"</t>
  </si>
  <si>
    <t>Федеральный закон от 21.12.1994 № 68-ФЗ "О защите населения и территорий от чрезвычайных ситуаций природного и техногенного характера"</t>
  </si>
  <si>
    <t>ст.11, пункт 2</t>
  </si>
  <si>
    <t>24.12.1994 - не установ</t>
  </si>
  <si>
    <t>310
0820087070,244</t>
  </si>
  <si>
    <t>0310
0820087080</t>
  </si>
  <si>
    <t>O310
8310080040.853</t>
  </si>
  <si>
    <t>2.1.19. обеспечение первичных мер пожарной безопасности в границах городского округа</t>
  </si>
  <si>
    <t>Федеральный закон от 21.12.1994 № 69-ФЗ "О пожарной безопасности"</t>
  </si>
  <si>
    <t>ст.10;абз.3
ст.19
ст.31;абз.2</t>
  </si>
  <si>
    <t>05.01.1995 - не установ</t>
  </si>
  <si>
    <t>0310
0820089030,244</t>
  </si>
  <si>
    <t>0310
08200S4120,244</t>
  </si>
  <si>
    <t>0310
08200S6750,244</t>
  </si>
  <si>
    <t>2.1.21. организация предоставления общедоступного и бесплатного дошкольного образования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</si>
  <si>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ст.16, пункт 1, п/пункт 13</t>
  </si>
  <si>
    <t>06.10.2003 - не установ</t>
  </si>
  <si>
    <t>Закон Красноярского края от 26.06.2014 № 6-2519 "Об образовании в Красноярском крае"</t>
  </si>
  <si>
    <t>26.07.2014 - не установ</t>
  </si>
  <si>
    <t xml:space="preserve">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t>
  </si>
  <si>
    <t>В целом</t>
  </si>
  <si>
    <t>01.01.2016 - бессрочный</t>
  </si>
  <si>
    <t>Соглашение от 14.02.2025  «О предоставлении субсидии бюджету городского округа город Дивногорск на проведение зданий и сооружений организаций, реализующих образовательные программы дошкольного образования в соответстве с требованиями законодательства на 2025-2027годы</t>
  </si>
  <si>
    <r>
      <t xml:space="preserve">0701
</t>
    </r>
    <r>
      <rPr>
        <b/>
        <sz val="8"/>
        <rFont val="Times New Roman"/>
        <family val="1"/>
        <charset val="204"/>
      </rPr>
      <t>01100S5820</t>
    </r>
    <r>
      <rPr>
        <sz val="8"/>
        <rFont val="Times New Roman"/>
        <family val="1"/>
        <charset val="204"/>
      </rPr>
      <t>,612</t>
    </r>
  </si>
  <si>
    <r>
      <t xml:space="preserve">0701
</t>
    </r>
    <r>
      <rPr>
        <b/>
        <sz val="8"/>
        <rFont val="Times New Roman"/>
        <family val="1"/>
        <charset val="204"/>
      </rPr>
      <t>01100S5840</t>
    </r>
    <r>
      <rPr>
        <sz val="8"/>
        <rFont val="Times New Roman"/>
        <family val="1"/>
        <charset val="204"/>
      </rPr>
      <t>,612</t>
    </r>
  </si>
  <si>
    <t>0701
011Я153150.612</t>
  </si>
  <si>
    <t>0701
0110080610,611</t>
  </si>
  <si>
    <t>0701
0110080610,612</t>
  </si>
  <si>
    <t>0701
0110080610,621</t>
  </si>
  <si>
    <t>0701
0110080611,622</t>
  </si>
  <si>
    <t>0701
0110080610,870</t>
  </si>
  <si>
    <t>0701
011008061Р,611</t>
  </si>
  <si>
    <t>0701
011008061Р,621</t>
  </si>
  <si>
    <t>0701
011008061Т,611</t>
  </si>
  <si>
    <t>0701
011008061Т,612</t>
  </si>
  <si>
    <t>0701
011008061Т,621</t>
  </si>
  <si>
    <t>0701
011008061Z,611</t>
  </si>
  <si>
    <t>0701
011008061Z,621</t>
  </si>
  <si>
    <t>0701
011008061Z,870</t>
  </si>
  <si>
    <t>2.1.22.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городской местности</t>
  </si>
  <si>
    <t>Федеральный закон от 29.12.2012 № 273-ФЗ «Об образовании в Российской Федерации»</t>
  </si>
  <si>
    <t>статья 8</t>
  </si>
  <si>
    <t>01.09.2013 - бесрочный</t>
  </si>
  <si>
    <t>Закон Красноярского края от 02.11.2000 N 12-961 "О защите прав ребенка", Закон Красноярского края от 27.12.2005 N 17-4377 "О наделении органов местного самоуправления муниципальных районов и городских округов края государственными полномочиями по обеспечению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t>
  </si>
  <si>
    <r>
      <t xml:space="preserve">1003
</t>
    </r>
    <r>
      <rPr>
        <b/>
        <sz val="8"/>
        <rFont val="Times New Roman"/>
        <family val="1"/>
        <charset val="204"/>
      </rPr>
      <t>01202S5830</t>
    </r>
    <r>
      <rPr>
        <sz val="8"/>
        <rFont val="Times New Roman"/>
        <family val="1"/>
        <charset val="204"/>
      </rPr>
      <t>,612</t>
    </r>
  </si>
  <si>
    <t>Постановление Правительства Красноярского края от 24.02.2015 N 65-п "Об утверждении Порядка учета и исчисления величины среднедушевого дохода семьи для определения права на получение мер социальной поддержки, предусмотренных пунктами 3, 4 статьи 11 Закона Красноярского края от 02.11.2000 N 12-961 "О защите прав ребенка"</t>
  </si>
  <si>
    <t>Постановление администрации города Дивногорска от 14.12.2016 № 246 п "Об утверждении Порядка обеспечения обучающихся в муниципальных общеобразовательных организациях по имеющим государственную аккредитацию основным общеобразовательным программам горячим завтраком и (или) горячим обедом без взимания платы»</t>
  </si>
  <si>
    <r>
      <t xml:space="preserve">1003
</t>
    </r>
    <r>
      <rPr>
        <b/>
        <sz val="8"/>
        <rFont val="Times New Roman"/>
        <family val="1"/>
        <charset val="204"/>
      </rPr>
      <t>01202S5830</t>
    </r>
    <r>
      <rPr>
        <sz val="8"/>
        <rFont val="Times New Roman"/>
        <family val="1"/>
        <charset val="204"/>
      </rPr>
      <t>,622</t>
    </r>
  </si>
  <si>
    <t>1003
01202S5830.870</t>
  </si>
  <si>
    <t>постановление Правительства Красноярского края от
19.09.2024 № 658-п «Об утверждении Методики распределения иных межбюджетных
трансфертов бюджетам муниципальных образований Красноярского края на выплату
ежемесячного денежного вознаграждения советникам директоров по воспитанию и
взаимодействию с детскими общественными объединениями в общеобразовательных
организациях, правил их предоставления»</t>
  </si>
  <si>
    <r>
      <t xml:space="preserve">0702
</t>
    </r>
    <r>
      <rPr>
        <b/>
        <sz val="8"/>
        <rFont val="Times New Roman"/>
        <family val="1"/>
        <charset val="204"/>
      </rPr>
      <t>01200Ю650500</t>
    </r>
    <r>
      <rPr>
        <sz val="8"/>
        <rFont val="Times New Roman"/>
        <family val="1"/>
        <charset val="204"/>
      </rPr>
      <t>,611</t>
    </r>
  </si>
  <si>
    <r>
      <t xml:space="preserve">0702
</t>
    </r>
    <r>
      <rPr>
        <b/>
        <sz val="8"/>
        <rFont val="Times New Roman"/>
        <family val="1"/>
        <charset val="204"/>
      </rPr>
      <t>012Ю650500</t>
    </r>
    <r>
      <rPr>
        <sz val="8"/>
        <rFont val="Times New Roman"/>
        <family val="1"/>
        <charset val="204"/>
      </rPr>
      <t>,621</t>
    </r>
  </si>
  <si>
    <t>0702
01200Ю653030.611</t>
  </si>
  <si>
    <r>
      <t xml:space="preserve">0702
</t>
    </r>
    <r>
      <rPr>
        <b/>
        <sz val="8"/>
        <rFont val="Times New Roman"/>
        <family val="1"/>
        <charset val="204"/>
      </rPr>
      <t>012Ю653030.621</t>
    </r>
  </si>
  <si>
    <r>
      <t xml:space="preserve">0702
</t>
    </r>
    <r>
      <rPr>
        <b/>
        <sz val="8"/>
        <rFont val="Times New Roman"/>
        <family val="1"/>
        <charset val="204"/>
      </rPr>
      <t>01200S5630</t>
    </r>
    <r>
      <rPr>
        <sz val="8"/>
        <rFont val="Times New Roman"/>
        <family val="1"/>
        <charset val="204"/>
      </rPr>
      <t>,612</t>
    </r>
  </si>
  <si>
    <r>
      <t>0702
01202L7502/</t>
    </r>
    <r>
      <rPr>
        <b/>
        <sz val="8"/>
        <rFont val="Times New Roman"/>
        <family val="1"/>
        <charset val="204"/>
      </rPr>
      <t>012Ю457502</t>
    </r>
    <r>
      <rPr>
        <sz val="8"/>
        <rFont val="Times New Roman"/>
        <family val="1"/>
        <charset val="204"/>
      </rPr>
      <t>,612</t>
    </r>
  </si>
  <si>
    <r>
      <t xml:space="preserve">0702
</t>
    </r>
    <r>
      <rPr>
        <b/>
        <sz val="8"/>
        <rFont val="Times New Roman"/>
        <family val="1"/>
        <charset val="204"/>
      </rPr>
      <t>012Ю651790,</t>
    </r>
    <r>
      <rPr>
        <sz val="8"/>
        <rFont val="Times New Roman"/>
        <family val="1"/>
        <charset val="204"/>
      </rPr>
      <t>611</t>
    </r>
  </si>
  <si>
    <t>Постановление Правительства Красноярского края от 30 января 2023 г. N 58-п
"Об утверждении Методики распределения иных межбюджетных трансфертов бюджетам муниципальных образований Красноярского края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правил их предоставления и их распределения на 2025 - 2027 годы"</t>
  </si>
  <si>
    <r>
      <t xml:space="preserve">0702
</t>
    </r>
    <r>
      <rPr>
        <b/>
        <sz val="8"/>
        <rFont val="Times New Roman"/>
        <family val="1"/>
        <charset val="204"/>
      </rPr>
      <t>012Ю651790</t>
    </r>
    <r>
      <rPr>
        <sz val="8"/>
        <rFont val="Times New Roman"/>
        <family val="1"/>
        <charset val="204"/>
      </rPr>
      <t>,621</t>
    </r>
  </si>
  <si>
    <t>Соглашение о предоставлении иного межбюджетного трансферта из бюджета от 03.02.25 № 04709000-1-2025-009
Красноярского края бюджету городского округа города Дивногорск на оснащение
предметных кабинетов общеобразовательных организаций средствами обучения и
воспитания в 2025 году</t>
  </si>
  <si>
    <t>0702
012Ю455590.244</t>
  </si>
  <si>
    <t>0702
0120080610,611</t>
  </si>
  <si>
    <t>0702
0120080610,612</t>
  </si>
  <si>
    <t>0702
0120080610,621,622</t>
  </si>
  <si>
    <t>0702
012008061T,611,612</t>
  </si>
  <si>
    <t>0702
012008061T,621,622</t>
  </si>
  <si>
    <t>0702
012008061Z,611</t>
  </si>
  <si>
    <t>Постановление администрации г. Дивногорска от 16.05.2012 № 119п "Об утверждении Положения о системах оплаты труда работников муниципальных учреждений города Дивногорска"
  Постановление администрации г. Дивногорска от 30.09.2015 №152п «Система образования города Дивногорска» (в ред. пост. №142п от 24.07.2018);</t>
  </si>
  <si>
    <t>0702
012008061Z,621</t>
  </si>
  <si>
    <t>0702
0120088780,612</t>
  </si>
  <si>
    <t>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t>
  </si>
  <si>
    <t>0702
01200S8400,622</t>
  </si>
  <si>
    <t>Соглашение от 14.05.2025 № Б/Н «О предоставлении субсидии бюджету городского округа город Дивногорск для предоставления горячего питания обучающимся общеобразовательных организаций в 2025 году</t>
  </si>
  <si>
    <t>0702
01200S4700,612</t>
  </si>
  <si>
    <t>Соглашение от 14.05.2025  «О предоставлении субсидии бюджету городского округа город Дивногорск Красноярского края  на проведение мероприятий по обеспечнию антитеррористической защищенности объектов образования в 2025 году</t>
  </si>
  <si>
    <t>0702
01200S5590,612</t>
  </si>
  <si>
    <t>2.1.24.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</si>
  <si>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0703
01200S5680.614</t>
  </si>
  <si>
    <t>0703
01100S56800.624</t>
  </si>
  <si>
    <t>0703
0120080620,614</t>
  </si>
  <si>
    <t>Закон Красноярского края от 29.10.2009 № 9-3864 «О системах оплаты труда работников краевых государственных учреждений»</t>
  </si>
  <si>
    <t>статья 2, 3, 4</t>
  </si>
  <si>
    <t>16.11.2009 - бессрочный</t>
  </si>
  <si>
    <t>Постановление Правительства Красноярского края от 30 января 2023 г. N 58-п"Об утверждении Методики распределения иных межбюджетных трансфертов бюджетам муниципальных образований Красноярского края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правил их предоставления и их распределения на 2025 - 2027 годы"
"Об утверждении Методики распределения иных межбюджетных трансфертов бюджетам муниципальных образований Красноярского края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правил их предоставления и их распределения на 2025 - 2027 годы"</t>
  </si>
  <si>
    <t>0703
012008062T,614</t>
  </si>
  <si>
    <t>0703
012008062Z,611</t>
  </si>
  <si>
    <t>0703
012008062Z,614</t>
  </si>
  <si>
    <t>0703
0120080620,612</t>
  </si>
  <si>
    <t xml:space="preserve">Распоряжение Правительства Красноярского края от 18.09.2020 N 670-р &lt;О внедрении системы персонифицированного финансирования дополнительного образования детей в Красноярском крае&gt;, </t>
  </si>
  <si>
    <t>0703
012008065Е,614</t>
  </si>
  <si>
    <t>0703
012008065Е,615</t>
  </si>
  <si>
    <t>0703
012008065Е,625</t>
  </si>
  <si>
    <t>0703
012008065E,635</t>
  </si>
  <si>
    <t>0703
012008065Е,816</t>
  </si>
  <si>
    <t>Закон Красноярского края от 28.06.2007 № 2-190 «О культуре»</t>
  </si>
  <si>
    <t>статья10</t>
  </si>
  <si>
    <t xml:space="preserve"> 28.06.2007- бессрочный</t>
  </si>
  <si>
    <t>0703
033080620,611</t>
  </si>
  <si>
    <t>Постановление администрации города Дивногорска от 09.09.2022 № 156п "Об утверждении Порядка определения объема и условий Предоставления субсидий на иные цели из бюджета городского округа город Дивногорск"</t>
  </si>
  <si>
    <t>0703
033080620,612</t>
  </si>
  <si>
    <t>0703
033008062T,611</t>
  </si>
  <si>
    <t>0703
033008062Z,611</t>
  </si>
  <si>
    <t>2.1.25.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</si>
  <si>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2.1.26.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</si>
  <si>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0709
0140080220,110</t>
  </si>
  <si>
    <t>0709
0140080220,244</t>
  </si>
  <si>
    <t>0709
0140080220,247</t>
  </si>
  <si>
    <t>0709
0140080220,350</t>
  </si>
  <si>
    <t>0709
0140080220,850</t>
  </si>
  <si>
    <t xml:space="preserve">Постановление администрации города
Дивногорска от 25.09.2013 № 187п  Об утверждении Положения об оплате труда работников
муниципального специализированного казенного 
учреждения по ведению бюджетного учета
«Межведомственная централизованная бухгалтерия»
 </t>
  </si>
  <si>
    <t xml:space="preserve"> от 25.09.2013</t>
  </si>
  <si>
    <t>2.1.29. организация библиотечного обслуживания населения, комплектование и обеспечение сохранности библиотечных фондов библиотек городского округа</t>
  </si>
  <si>
    <r>
      <t xml:space="preserve">0801
</t>
    </r>
    <r>
      <rPr>
        <b/>
        <sz val="8"/>
        <rFont val="Times New Roman"/>
        <family val="1"/>
        <charset val="204"/>
      </rPr>
      <t>03100S4880</t>
    </r>
    <r>
      <rPr>
        <sz val="8"/>
        <rFont val="Times New Roman"/>
        <family val="1"/>
        <charset val="204"/>
      </rPr>
      <t>,612</t>
    </r>
  </si>
  <si>
    <t>cт.16, пункт 1, п/пункт 16</t>
  </si>
  <si>
    <t>Закон Красноярского края от 17.05.1999 № 6-400 "О библиотечном деле в Красноярском крае"</t>
  </si>
  <si>
    <t>ст. 9</t>
  </si>
  <si>
    <t>27.06.1999 - не установ</t>
  </si>
  <si>
    <t>0801
0310080640,611</t>
  </si>
  <si>
    <t>0801
0310080640,612</t>
  </si>
  <si>
    <t>0801
031008064T,611</t>
  </si>
  <si>
    <t>Постановление администрации города Дивногорска от 18.05.2012 № 122п "Об утверждении Примерного положенияоб оплатетруда
работников муниципальныхучреждений в сфере культуры"</t>
  </si>
  <si>
    <t>0801
031008064Z,611</t>
  </si>
  <si>
    <t>Соглашение о предоставлении субсидии из бюджета субъекта Российской Федерации местному бюджету от 21.01.2025г. № 04709000-1-2025-003</t>
  </si>
  <si>
    <t>0801
03100L5190,612</t>
  </si>
  <si>
    <t>Федеральный закон от 29.12.1994 № 78-ФЗ "О библиотечном деле"</t>
  </si>
  <si>
    <t xml:space="preserve">ст.10 </t>
  </si>
  <si>
    <t>02.01.1995 - не установ</t>
  </si>
  <si>
    <t>Соглашение о предоставлении субсидии местному бюджету из краевого бюджета от 14.05.2025г. № 163</t>
  </si>
  <si>
    <t>0801
03100S4490.612</t>
  </si>
  <si>
    <t>2.1.30. создание условий для организации досуга и обеспечения жителей городского округа услугами организаций культуры</t>
  </si>
  <si>
    <t>ст.16, пункт 1, п/пункт 17</t>
  </si>
  <si>
    <t>Закон Красноярского края от 28.06.2007 № 2-190 "О культуре"</t>
  </si>
  <si>
    <t>ст. 22</t>
  </si>
  <si>
    <t>31.07.2007 - не установ</t>
  </si>
  <si>
    <t xml:space="preserve">Закон РФ от 09.10.1992 № 3612-1 "Основы законодательства Российской Федерации о культуре" </t>
  </si>
  <si>
    <t>ст. 40</t>
  </si>
  <si>
    <t>17.11.1992 - не установ</t>
  </si>
  <si>
    <t>Федеральный закон от 25.06.2002 № 73-ФЗ «Об объектах культурного наследия (памятниках истории и культуры) народов Российской Федерации»</t>
  </si>
  <si>
    <t>Закон Красноярского края от 23.04.2009 № 8-3166 «Об объектах культурного наследия (памятниках истории и культуры) народов Российской Федерации, расположенных на территории Красноярского края»</t>
  </si>
  <si>
    <t>0801
0310080630,611</t>
  </si>
  <si>
    <t>0801
0310080630,612</t>
  </si>
  <si>
    <t>0801
031008063Т,611</t>
  </si>
  <si>
    <t>0801
031008063Z,611</t>
  </si>
  <si>
    <t>0801
031Я555902.612</t>
  </si>
  <si>
    <t>0801
0320086410,612</t>
  </si>
  <si>
    <t>постановление Правительства Красноярского края от 31.12.2019 N 793-п "Об утверждении Порядка предоставления и распределения иных межбюджетных трансфертов бюджетам муниципальных образований Красноярского края на осуществление расходов, направленных на реализацию мероприятий по поддержке местных инициатив", Постановление Правительства Красноярского края от 14 марта 2025 г. N 208-п
"Об утверждении распределения иных межбюджетных трансфертов бюджетам муниципальных образований Красноярского края на осуществление расходов, направленных на реализацию мероприятий по поддержке местных инициатив, на 2025 год"</t>
  </si>
  <si>
    <t>Соглашение о предоставлении иного межбюджетного трансферта из краевого бюджета местному бюджету от 26.03.2025г. № 115/12-25</t>
  </si>
  <si>
    <t>0801
03200S6410,612</t>
  </si>
  <si>
    <t>Соглашение о предоставлении субсидии местному бюджету из краевого бюджета от 15.05.2025 № 6</t>
  </si>
  <si>
    <t>0801
03200S4720,612</t>
  </si>
  <si>
    <t>Соглашение о предоставлении субсидии местному бюджету из краевого бюджета от 14.05.2025 № 175</t>
  </si>
  <si>
    <t>0801
03200S4820.612</t>
  </si>
  <si>
    <t>Соглашение о предоставлении субсидии местному бюджету из краевого бюджета в 2025 году № 4 от 14.04.2025</t>
  </si>
  <si>
    <t>0801
032П176930.612</t>
  </si>
  <si>
    <t>0801
0320080610,611</t>
  </si>
  <si>
    <t>0801
0320080610,612</t>
  </si>
  <si>
    <t>0801
032008061Т,611</t>
  </si>
  <si>
    <t>0801
032008061Z,611</t>
  </si>
  <si>
    <t>0801
0370088960.611</t>
  </si>
  <si>
    <t>0801
032Я553495.612</t>
  </si>
  <si>
    <t>Постановление администрации г. Дивногорска от 18.05.2012 № 122п «Об утверждении Примерного положения об оплате труда работников муниципальных учреждений в сфере культуры"</t>
  </si>
  <si>
    <t>0804
0340080220,110</t>
  </si>
  <si>
    <t>0804
0340080220,244</t>
  </si>
  <si>
    <t>0804
0340080220,247</t>
  </si>
  <si>
    <t>0804
0340080220,850</t>
  </si>
  <si>
    <t>2.1.33.обеспечение условий для развития на территории городского округа физической культуры, школьного спорта и массового спорта</t>
  </si>
  <si>
    <t>Федеральный закон от 06.10.2003 № 131-ФЗ «Об общих принципах организации местного самоуправления в Российской Федерации»</t>
  </si>
  <si>
    <t>статья 16, пункт 1, п\пункт 19</t>
  </si>
  <si>
    <t>06.10.2003 -не установлен</t>
  </si>
  <si>
    <t>статья 5</t>
  </si>
  <si>
    <t xml:space="preserve">1103
0410080620,611
</t>
  </si>
  <si>
    <t>Постановление Правительства Красноярского края от 26.11.2021 № 829-п " Об утверждении Методики распределения иных межбюджетных трансфертов из краевого бюджета бюджетам муниципальных образований Красноярского края на устройство плоскостных спортивных сооружений в сельской местности и правил их предоставления"</t>
  </si>
  <si>
    <t xml:space="preserve">1103
0410080620,612
</t>
  </si>
  <si>
    <t>Постановление Правительства Красноярского края от 21.05.2024 № 378-п "Об утверждении распределения иных межбюджетных трансфертов бюджетам муниципальных образований Красноярского края на устройство спортивных сооружений в сельской местности на 2025 год"</t>
  </si>
  <si>
    <t>Соглашение о предоставлении из бюджета городского округа муниципальному бюджетному учреждению субсидии 3 ИЦ от 31.03.2025</t>
  </si>
  <si>
    <t>Постановление администрации г. Дивногорска от 23.12.2022 № 224п "Об утверждении примерного Положения об оплате труда работников муниципальных бюджетных учреждений, подведомственных отделуфизической культуры, спорта и молодежной полититки  администрации города Дивногорска"
 Постановление администрации г. Дивногорска от 16.05.2012 № 119п "Об утверждении Положения о системах оплаты труда работников муниципальных учреждений города Дивногорска"</t>
  </si>
  <si>
    <t>1101
041008061Z,621</t>
  </si>
  <si>
    <t>1103
041008062T,611,612</t>
  </si>
  <si>
    <t>1103
041008062Z,611</t>
  </si>
  <si>
    <t>1101
0410080610.622</t>
  </si>
  <si>
    <t>Постановление Правительства Красноярского края от 26.03.2025 № 244-п "Об утверждении распределения субсидии бюджетам муниципальных образований Красноярского края на модернизацию и укрепление МБТ муниципальных физкультурно-спортивных организаций, осуществляющих деятельность в области физической культуры и спорта в 2025 году</t>
  </si>
  <si>
    <t>1103
04100S4370,612</t>
  </si>
  <si>
    <t>1103
04100S6501,612</t>
  </si>
  <si>
    <t>1103
04100S6540,612</t>
  </si>
  <si>
    <t>Соглашение о предоставлении иного межбюджетного трансферта из краевого бюджета местному бюджету № 2С от 03.09.2024</t>
  </si>
  <si>
    <t>1102
041008062Z,611</t>
  </si>
  <si>
    <t>1102
041008062,611</t>
  </si>
  <si>
    <t>1102
041008062T,611</t>
  </si>
  <si>
    <t>1103
04100S8480,612</t>
  </si>
  <si>
    <t>1103
04100S4180.612</t>
  </si>
  <si>
    <t>2.1.34. организация проведения официальных физкультурно-оздоровительных и спортивных мероприятий городского округа</t>
  </si>
  <si>
    <t>статья 16</t>
  </si>
  <si>
    <t>06.10.2003 - бессрочный</t>
  </si>
  <si>
    <t xml:space="preserve">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t>
  </si>
  <si>
    <t>1102
0410080520,621</t>
  </si>
  <si>
    <t>Федеральный закон от 04.12.2007 № 329-ФЗ "О физической культуре и спорте в Российской Федерации"</t>
  </si>
  <si>
    <t>30.03.2008 - не установ</t>
  </si>
  <si>
    <t>1102
0410080520,611</t>
  </si>
  <si>
    <t>2.1.35. создание условий для массового отдыха жителей городского округа и организация обустройства мест массового отдыха населения</t>
  </si>
  <si>
    <t>0909
08100S5550,244</t>
  </si>
  <si>
    <t>2.1.37. организация ритуальных услуг и содержание мест захоронения</t>
  </si>
  <si>
    <t xml:space="preserve">Федеральный закон от 12.01.1996 № 8-ФЗ "О погребении и похоронном деле"  </t>
  </si>
  <si>
    <t>ст.9, пункт 3</t>
  </si>
  <si>
    <t>15.01.1996 - не установ</t>
  </si>
  <si>
    <t>Закон Красноярского края от 24.04.1997 № 13-487 "О семейных (родовых) захоронениях на территории Красноярского края"</t>
  </si>
  <si>
    <t>18.05.1997 - не установ</t>
  </si>
  <si>
    <t>ст.16, пункт 1, п/пункт 23</t>
  </si>
  <si>
    <t>0503
0810084030,244</t>
  </si>
  <si>
    <t>2.1.38. 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t>
  </si>
  <si>
    <t>ст.16, пункт 1, п/пункт 24</t>
  </si>
  <si>
    <t>Закон Красноярского края от 20.09.2013 № 5-1597 "Об экологической безопасности и охране окружающей среды в Красноярском крае"</t>
  </si>
  <si>
    <t>13.10.2013 - не установ</t>
  </si>
  <si>
    <t>0503
0810084040,244</t>
  </si>
  <si>
    <t>Федеральный закон от 24.06.1998 № 89-ФЗ "Об отходах производства и потребления"</t>
  </si>
  <si>
    <t>ст.8, пункт 1</t>
  </si>
  <si>
    <t>30.06.1998 - не установ</t>
  </si>
  <si>
    <t>2.1.39. утверждение правил благоустройства территории городского округа, осуществление контроля за их соблюдением</t>
  </si>
  <si>
    <t>2.1.40. организация благоустройства территории городского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</si>
  <si>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0503
0810077450,244</t>
  </si>
  <si>
    <t>0503
0810084170,244</t>
  </si>
  <si>
    <t>0503
0810086860,244</t>
  </si>
  <si>
    <t>0503
0810089170,244</t>
  </si>
  <si>
    <t>0503
1110084240,244</t>
  </si>
  <si>
    <r>
      <t xml:space="preserve">0503
</t>
    </r>
    <r>
      <rPr>
        <b/>
        <sz val="8"/>
        <rFont val="Times New Roman"/>
        <family val="1"/>
        <charset val="204"/>
      </rPr>
      <t>111И45555</t>
    </r>
    <r>
      <rPr>
        <sz val="8"/>
        <rFont val="Times New Roman"/>
        <family val="1"/>
        <charset val="204"/>
      </rPr>
      <t>0.244</t>
    </r>
  </si>
  <si>
    <t>0503
03600S4800,244</t>
  </si>
  <si>
    <t>0503
081008485,243</t>
  </si>
  <si>
    <t>0503
1110085570,244</t>
  </si>
  <si>
    <t>0503
0810087040,244</t>
  </si>
  <si>
    <t>0503
0810088990,244</t>
  </si>
  <si>
    <r>
      <t xml:space="preserve">0503
</t>
    </r>
    <r>
      <rPr>
        <b/>
        <sz val="8"/>
        <rFont val="Times New Roman"/>
        <family val="1"/>
        <charset val="204"/>
      </rPr>
      <t>111И47451</t>
    </r>
    <r>
      <rPr>
        <sz val="8"/>
        <rFont val="Times New Roman"/>
        <family val="1"/>
        <charset val="204"/>
      </rPr>
      <t>,244</t>
    </r>
  </si>
  <si>
    <t>2.1.43. 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</si>
  <si>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ст.16, пункт 1, п/пункт 26</t>
  </si>
  <si>
    <t>Закон Красноярского края от 04.12.2008 № 7-2542 "О регулировании земельных отношений в Красноярском крае"</t>
  </si>
  <si>
    <t>ст.7</t>
  </si>
  <si>
    <t>04.01.2009 - не установ</t>
  </si>
  <si>
    <t>0412
05500S4660,244</t>
  </si>
  <si>
    <t>0412
0510084660.244</t>
  </si>
  <si>
    <t>2.1.52. содействие развитию малого и среднего предпринимательства</t>
  </si>
  <si>
    <t>Федеральный закон от 24.07.2007 № 209-ФЗ "О развитии малого и среднего предпринимательства в Российской Федерации"</t>
  </si>
  <si>
    <t>ст. 11</t>
  </si>
  <si>
    <t>Постановление Правительства Красноярского края от 30/09/2013 №505"Об утверждении государственной  программы ККр"Развитие инвестиционной деятельности, малого и среднего предпринимательства"</t>
  </si>
  <si>
    <t>ст.16, пункт 1, п/пункт 33</t>
  </si>
  <si>
    <t>Постановление Администрации города Дивногорска от 28..12.2024 №245п "Об утверждении Порядка предоставления субсидий субъектам малого и среднего предпринимательства и физическим лицам, применяющим специальный налоговый режим "Налог на профессиональный доход" на возмещение затрат при осуществлении предпринимательской деятельности"</t>
  </si>
  <si>
    <t>0412
06200S6070,244</t>
  </si>
  <si>
    <t>Постановление Администрации города Дивногорска от 28.12.2024 №246п "Об утверждении Порядка предоставления субсидий субъектам малого и среднего предпринимательства на реализацию инвестиционных проектов в приоритетных отраслях</t>
  </si>
  <si>
    <t>0412
06200S6610,811</t>
  </si>
  <si>
    <t>2.1.54. организация и осуществление мероприятий по работе с детьми и молодежью в городском округе</t>
  </si>
  <si>
    <t xml:space="preserve">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t>
  </si>
  <si>
    <t>Закон Красноярского края от 08.12.2006 № 20-5445 "О государственной молодежной политике Красноярского края"</t>
  </si>
  <si>
    <t>ст. 8</t>
  </si>
  <si>
    <t>06.01.2008 - не установ</t>
  </si>
  <si>
    <t>0707
0420080610,621/622</t>
  </si>
  <si>
    <t>0707
042008061T,621</t>
  </si>
  <si>
    <t>0707
042008061Z,621</t>
  </si>
  <si>
    <t>0707
04200S4560,622</t>
  </si>
  <si>
    <t xml:space="preserve">2.1.56. ДНД-оказание поддержки  гражданам и их объединениям, участвующим в охране общественного порядка, создание условий для деятельности нардных дружин - </t>
  </si>
  <si>
    <t>ст.16, пункт 1, п/пункт 37</t>
  </si>
  <si>
    <t>0314
8210086120,123</t>
  </si>
  <si>
    <t>2.2.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</si>
  <si>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2.2.1.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</si>
  <si>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Закон Красноярского края от 24.04.2008 № 5-1565 "Об особенностях правового регулирования муниципальной службы в Красноярском крае"</t>
  </si>
  <si>
    <t>0103
8110080210,120</t>
  </si>
  <si>
    <t>0103
8110080210,244</t>
  </si>
  <si>
    <t>0103
8110080210,852</t>
  </si>
  <si>
    <t>0103
8110080230,129</t>
  </si>
  <si>
    <t>0103
8110080910,129</t>
  </si>
  <si>
    <t>Федеральный закон от 02.03.2007 № 25-ФЗ "О муниципальной службе в Российской Федерации"</t>
  </si>
  <si>
    <t>01.06.2007 - не установ</t>
  </si>
  <si>
    <t>Постановление Совета администрации Кр.Кр  №512 П"О нормативах формирования расходов на оплату труда"</t>
  </si>
  <si>
    <t>0103
8110010240,129</t>
  </si>
  <si>
    <t>0102
8210010240.129</t>
  </si>
  <si>
    <t>Решение Дивногорского городского Совета депутатов от 18.06.2015 №55-341-ГС "Об утверждении Положения об оплате труда депутатов, выборных должностных лиц, осуществляющих свои полномочия на постоянной основе, и муниципальных служащих в муниципальном образовании г.Дивногорск"</t>
  </si>
  <si>
    <t>Ст.2 гл.2, п.2 ст.54 гл.7 Решения</t>
  </si>
  <si>
    <t>21.04.2016г;       01.01.2016г</t>
  </si>
  <si>
    <t>0104
8210010240.129</t>
  </si>
  <si>
    <t>0104
8210010240.870</t>
  </si>
  <si>
    <t>0102
8210080230,129,122</t>
  </si>
  <si>
    <t>0104
8210080210,122,129</t>
  </si>
  <si>
    <t>0104
8210080210,244</t>
  </si>
  <si>
    <t>0104
8210080210,247</t>
  </si>
  <si>
    <t>0104
8210080210,830</t>
  </si>
  <si>
    <t>0104
8210080210,850</t>
  </si>
  <si>
    <t>0104
8210080910,129</t>
  </si>
  <si>
    <t>0804
0340080210,244</t>
  </si>
  <si>
    <t>0804
0340080210,122.129</t>
  </si>
  <si>
    <t>0804
0340080910,120</t>
  </si>
  <si>
    <t>0804
034001024.129</t>
  </si>
  <si>
    <t>1105
0440080210.129</t>
  </si>
  <si>
    <t>1105
0440010240.129</t>
  </si>
  <si>
    <t>1105
0440080210,244</t>
  </si>
  <si>
    <t>0106
8410080210.129</t>
  </si>
  <si>
    <t>Решение Дивногорского городского Совета депутатов от 24.11.2021 №16-100-ГС</t>
  </si>
  <si>
    <t>0106
8410080210,244</t>
  </si>
  <si>
    <t>0106
8410010240.129</t>
  </si>
  <si>
    <t>0709
0140080210.129</t>
  </si>
  <si>
    <t>0709
0140080210,244</t>
  </si>
  <si>
    <t>0709
0140080210,853</t>
  </si>
  <si>
    <t>0709
0140080910.129</t>
  </si>
  <si>
    <t>0709
0140010240.129</t>
  </si>
  <si>
    <t>0106
0940080210.850</t>
  </si>
  <si>
    <t>0106
094008021,129</t>
  </si>
  <si>
    <t>0106
0940080210,244</t>
  </si>
  <si>
    <t>0106
094001024.129</t>
  </si>
  <si>
    <t>0106
0940080910,129</t>
  </si>
  <si>
    <t>2.2.2.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</si>
  <si>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0103
811008021.121</t>
  </si>
  <si>
    <t>0103
8110080230,121</t>
  </si>
  <si>
    <t>0103
8110080910.121</t>
  </si>
  <si>
    <t>0103
8110010240</t>
  </si>
  <si>
    <t>0102
8210010240.121</t>
  </si>
  <si>
    <t>0104
8210010240.121</t>
  </si>
  <si>
    <t>0102
8210080230.121</t>
  </si>
  <si>
    <t>0104
8210080210</t>
  </si>
  <si>
    <t>0104
8210080910</t>
  </si>
  <si>
    <t>0804
8210080210.121</t>
  </si>
  <si>
    <t>0804
0340010240.121</t>
  </si>
  <si>
    <t>0804
0340080910</t>
  </si>
  <si>
    <t>1105
0440010240.121</t>
  </si>
  <si>
    <t>1105
0440080210.121</t>
  </si>
  <si>
    <t>0106
8410080210.121</t>
  </si>
  <si>
    <t>0106
8410010240.121</t>
  </si>
  <si>
    <t>0709
0140080210.121</t>
  </si>
  <si>
    <t>0709
0140010240.121</t>
  </si>
  <si>
    <t>Решение городского совета депутатов от 18.06.2015 № 55-341-ГС об утверждении положения об оплате труда депутатов ,выборных должностных лиц, осуществляющих свои полномочия на постоянной основе, и муниципальных служащих в муниципальном образовани г. Дивногорск</t>
  </si>
  <si>
    <t>0709
0140080910.121</t>
  </si>
  <si>
    <t>0106
0940010240.121</t>
  </si>
  <si>
    <t>0106
0940080210,121</t>
  </si>
  <si>
    <t>0106
0940080910</t>
  </si>
  <si>
    <r>
      <rPr>
        <b/>
        <sz val="8"/>
        <rFont val="Times New Roman"/>
        <family val="1"/>
        <charset val="204"/>
      </rPr>
      <t>2.2.3.</t>
    </r>
    <r>
      <rPr>
        <sz val="8"/>
        <rFont val="Times New Roman"/>
        <family val="1"/>
        <charset val="204"/>
      </rPr>
      <t xml:space="preserve"> обслуживание муниципального долга без учета обслуживания долговых обязательств в части процентов, пеней и штрафных санкций по полученным бюджетным кредитам</t>
    </r>
  </si>
  <si>
    <t>2.2.4. обслуживание долговых обязательств в части процентов, пеней и штрафных санкций по полученным бюджетным кредитам</t>
  </si>
  <si>
    <t>ст16, пункт 1, п/пункт 1</t>
  </si>
  <si>
    <t>1301
8210088940,730</t>
  </si>
  <si>
    <t>2.2.8.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 ГХ, АПБ )</t>
  </si>
  <si>
    <t>Ст.в целом</t>
  </si>
  <si>
    <t>0310
0840080220,110</t>
  </si>
  <si>
    <t>0310
0840080220,244</t>
  </si>
  <si>
    <t>0505
0840080220,110</t>
  </si>
  <si>
    <t>0505
0840080220,244</t>
  </si>
  <si>
    <t>0505
0840080220,831</t>
  </si>
  <si>
    <t>0505
0840080220,850</t>
  </si>
  <si>
    <t>0505
0840087880.244</t>
  </si>
  <si>
    <t>0113
8310080220,110</t>
  </si>
  <si>
    <t>0113
8310080220,853</t>
  </si>
  <si>
    <t>0113
8310080220,244</t>
  </si>
  <si>
    <t>2.2.13.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</si>
  <si>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ст.17,  пункт 1, п/пункт 5</t>
  </si>
  <si>
    <t>Закон Красноярского края от 02.10.2003 № 8-1411  "О выборах в органы местного самоуправления в Красноярском крае"</t>
  </si>
  <si>
    <t>ст.5, пункт 1
ст.43, пункт 1</t>
  </si>
  <si>
    <t>08.11.2003 - не установ</t>
  </si>
  <si>
    <t>0107
8210081110,880</t>
  </si>
  <si>
    <t>Федеральный закон от 12.06.2002 № 67-ФЗ "Об основных гарантиях избирательных прав и права на участие в референдуме граждан Российской Федерации"</t>
  </si>
  <si>
    <t>ст.57, пункт 1</t>
  </si>
  <si>
    <t>26.06.2002 - не установ</t>
  </si>
  <si>
    <t>0113
8210081120,244</t>
  </si>
  <si>
    <t>2.2.23.  Предоставление доплаты за выслугу лет к трудовой пенсии муниципальным служащим за счет средств местного бюджета</t>
  </si>
  <si>
    <t>0113
821W058530,244</t>
  </si>
  <si>
    <t xml:space="preserve">Закон Красноярского края от 24.04.2008 N 5-1565 (ред. от 03.10.2019) "Об особенностях правового регулирования муниципальной службы в Красноярском крае", Закон Красноярского края от 26.06.2008 N 6-1832 (ред. от 29.06.2017) "О гарантиях осуществления полномочий депутата, члена выборного органа местного самоуправления, выборного должностного лица местного самоуправления в Красноярском крае" (подписан Губернатором Красноярского края 08.07.2008), </t>
  </si>
  <si>
    <t>01.07.2008 - бессрочный, 01.08.2008-бессрочный</t>
  </si>
  <si>
    <t>Решение Дивногорского городского Совета депутатов от 28.01.2020г. № 51-325-ГС «Об утверждении Положения об условиях и порядке предоставления муниципальному служащему права на пенсию за выслугу лет за счет средств бюджета города Дивногорска», решением Дивногорского городского Совета депутатов от 18.06.2015 № 55-341-ГС «Об утверждении Положения об оплате труда депутатов, выборных должностных лиц, осуществляющих свои полномочия на постоянной основе, и муниципальных служащих в муниципальном образовании г. Дивногорск» (в вред. от 24.09.2019г. № 45-289-ГС)</t>
  </si>
  <si>
    <t>1001
0630088080,312</t>
  </si>
  <si>
    <t>1001
0630088080,244</t>
  </si>
  <si>
    <t>2.2.24. Горячее питание</t>
  </si>
  <si>
    <t>Федеральный закон от 21.12.2021 г. № 414-ФЗ "Об общих принципах организации публичной власти субъектов Российской Федерации"</t>
  </si>
  <si>
    <t>ст.44, п.50</t>
  </si>
  <si>
    <t>21.12.2021 - не установ</t>
  </si>
  <si>
    <t>Постановление Правительства Красноярского края от 18.09.2020 №628-п "Об утверждении Порядка предоставления и распределения субсидий бюджетам муниципальных образований края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t>
  </si>
  <si>
    <t>21.09.2020 - не установ</t>
  </si>
  <si>
    <t>Соглашение о предоставлении субсидии из бюджета Красноярского края бюджету
городского округа города Дивногорск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бесплатным горячим питанием,
предусматривающим наличие горячего блюда, не считая горячего напитка в 2025-2027
годах № 04709000-1-2025-004 от 20.01.2025</t>
  </si>
  <si>
    <t>1003
01200L3040,612</t>
  </si>
  <si>
    <t>1003
01200L3040,622</t>
  </si>
  <si>
    <t>2,2,25.Полномочия в рамках реализации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 а также связанных с проведением специальной военной операцией</t>
  </si>
  <si>
    <t>1003
01202S5830, 622</t>
  </si>
  <si>
    <t>ч.3 ст.48</t>
  </si>
  <si>
    <t xml:space="preserve">Указом Губернатора Красноярского края от 25.10.2022 N 317-уг "О социально-экономических мерах поддержки лиц, принимающих участие в специальной военной операции, и членов их семей"
</t>
  </si>
  <si>
    <t>26.10.2022 - не установ.</t>
  </si>
  <si>
    <t>постановление администрации города Дивногорска от 27.03.2024 №48п «Об утверждении порядка предоставления в исключительных случаях, единовременной помощи членам семей лиц, принимающих участие в специальной военной операции»</t>
  </si>
  <si>
    <t>1003
8210085090.313</t>
  </si>
  <si>
    <t>Решение Дивногорского городского совета депутатов №49-300-НПА от 26.06.2024</t>
  </si>
  <si>
    <t>1003
8210089200.313</t>
  </si>
  <si>
    <t>0701
0110008530,612</t>
  </si>
  <si>
    <t>Постановление Правительства Красноярского края от 01.11.2022 N 935-п" Об утверждении Методики распределения иных межбюджетных трансфертов из краевого бюджета бюджетам муниципальных образований Красноярского края на финансовое обеспечение (возмещение) расходов, связанных с предоставлением мер социальной поддержки в сфере дошкольного и общего образования детям из семей лиц, принимающих (принимавших) участие в специальной военной операции, и (или) лиц, выполняющих (выполнявших) задачи по отражению вооруженного вторжения на территорию Российской Федерации, правил их предоставления и их распределения на 2025 год и плановый период 2026 - 2027 годов"</t>
  </si>
  <si>
    <t>0701
0110008530,622</t>
  </si>
  <si>
    <t>0702
0120008530,612</t>
  </si>
  <si>
    <t>0702
0120008530,622</t>
  </si>
  <si>
    <t>2.3.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прав на решение вопросов, не отнесенных к вопросам местного значения городского округа, всего</t>
  </si>
  <si>
    <t>2.3.1. по перечню, предусмотренному Законом № 131-ФЗ, всего</t>
  </si>
  <si>
    <t>2.3.1.13. Осуществление мероприятий по отлову и содержанию безнадзорных животных, обитающих на территории городского округа</t>
  </si>
  <si>
    <t>2.3.1.15. оказание содействия развитию физической культуры и спорта инвалидов, лиц с ограниченными возможностями здоровья, адаптивной физической культуры и адаптивного спорта</t>
  </si>
  <si>
    <t>1103
04100S4360,612</t>
  </si>
  <si>
    <t>2.3.2. по участию в осуществлении государственных полномочий (не переданных в соответствии со статьей 19 Закона № 131-ФЗ), если это участие предусмотрено федеральными законами, всего</t>
  </si>
  <si>
    <t>…</t>
  </si>
  <si>
    <t>2.3.3.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</si>
  <si>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2.3.3.2. обеспечение мер социальной поддержки населения</t>
  </si>
  <si>
    <t xml:space="preserve">решение городского Совета депутатов от 28.02.2013 № 30-192-ГС "Об утверждении Положения о почетном звании "Почетный гражданин г.Дивногорска"
от 20.12.2007 №36-216-ГС (в редакции от 27.03.2008 №39-233-ГС, от 29.01.2009 №47-284-ГС, от 29.04.2010 №2-5-ГС, от 30.06.2011 №15-103-ГС, от 25.10.2012 №27-169-ГС) </t>
  </si>
  <si>
    <t>1003
8210085030,330</t>
  </si>
  <si>
    <t>Распоряжение Администрации города Дивногорска от 25.09.2024 №1503р "О порядке проведения конкурса "Лучший участковый уполномоченный полиции в городе Дивногорске" в 2024 годк.</t>
  </si>
  <si>
    <t>1003
8210085060,350</t>
  </si>
  <si>
    <t>1003
8210088050,310</t>
  </si>
  <si>
    <t>решение Дивногорского городского Совета депутатов от 26.06.2024 № 49-295-НПА «О внесении изменений в решение Дивногорского городского Совета депутатов от  20 декабря 2023 г. № 42–252–ГС «О бюджете города Дивногорска на 2024 год и плановый период 2025-2026 годов»</t>
  </si>
  <si>
    <t>1003
8210088710,323</t>
  </si>
  <si>
    <t>2.4.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</si>
  <si>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2.4.1. за счет субвенций, предоставленных из федерального бюджета, всего</t>
  </si>
  <si>
    <t>2.4.1.2. по составлению списков кандидатов в присяжные заседатели</t>
  </si>
  <si>
    <t>Федеральный закон от 20.08.2004 № 113-ФЗ "О присяжных заседателях федеральных судов общей юрисдикции в Российской Федерации"</t>
  </si>
  <si>
    <t>03.09.2004 - не установ</t>
  </si>
  <si>
    <t>Постановление Правительства Красноярского края от 31.07.2009 № 391-п "О Порядке и сроках составления общего и запасного списков кандидатов в присяжные заседатели Красноярского края"</t>
  </si>
  <si>
    <t>18.08.2009 - не установ</t>
  </si>
  <si>
    <t>0105
8210051200,244</t>
  </si>
  <si>
    <t>2.4.1.3. на осуществление воинского учета на территориях, на которых отсутствуют структурные подразделения военных комиссариатов</t>
  </si>
  <si>
    <t>Постановление Правительства РФ от 29 апреля 2006 № 258 «О субвенциях на осуществление полномочий по первичному воинскому учету на территориях, где отсутствуют военные комиссариаты»</t>
  </si>
  <si>
    <t>Постановление Администрации г.Дивногорска от 23.05.2012 № 126-п "Об утверждении порядка использования субвенции на осуществление полномочий по первичному воинскому учету на территориях, где отсутствуют военные комиссариаты"</t>
  </si>
  <si>
    <t>0203
8210051180,121</t>
  </si>
  <si>
    <t>0203
8210051180,129</t>
  </si>
  <si>
    <t>0203
8210051180,244</t>
  </si>
  <si>
    <t>2.4.1.22. Всероссийская перепись населения</t>
  </si>
  <si>
    <t>2.4.2. за счет субвенций, предоставленных из бюджета субъекта Российской Федерации, всего</t>
  </si>
  <si>
    <t>2.4.2.1.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 (адм комис-8210075140, КДН-8210076040, опека-0140075520, кол.дог-8210074290, соц.под-ка0250075130, формир и содер. Арх. Ф-да-0340075190)-119,129,244,850.</t>
  </si>
  <si>
    <t>ст.44, п.86</t>
  </si>
  <si>
    <t>Закон Красноярского края от 30.01.2014 № 6-2056 О наделении органов местного самоуправления городских округов и муниципальных районов края государственными полномочиями по осуществлению уведомительной регистрации коллективных договоров и территориальных соглашений и контроля за их выполнением</t>
  </si>
  <si>
    <t>19.02.2014 - не установ</t>
  </si>
  <si>
    <t>Постановление Администрации г.Дивногорска от 10.09.2014 № 201п "Об утверждении порядка использования субвенции на реализацию Закона Красноярского края от 30.01.2014 № 6-2056 "О наделении органов местного самоуправления городских округов и муниципальных районов края государственными полномочиями по осуществлению уведомительной регистрации коллективных договорв и территориальных соглашений и контроля за их выполнением"</t>
  </si>
  <si>
    <t>0104
8210074290,129</t>
  </si>
  <si>
    <t>0104
8210074290,244</t>
  </si>
  <si>
    <t>ст.44, п.56</t>
  </si>
  <si>
    <t>Закон Красноярского края от 23.04.2009 № 8-3170  "О наделении органов местного самоуправления муниципальных образований края государственными полномочиями по созданию и обеспечению деятельности административных комиссий"</t>
  </si>
  <si>
    <t>29.05.2009 - не установ</t>
  </si>
  <si>
    <t>Постановление Администрации г.Дивногорска от 09.04.2012 № 74п "Об утверждении порядка использования субвенции на реализацию Закона Красноярского края от 23.04.2009 № 8-3170 "О наделении органов местного самоуправления муниципальных образований края государственными полномочиями по созданию и обеспечению деятельности административных комиссий"</t>
  </si>
  <si>
    <t>0104
8210075140,129</t>
  </si>
  <si>
    <t>Закон Красноярского края от 23.04.2009 № 8-3168 "Об административных комиссиях в Красноярском крае"</t>
  </si>
  <si>
    <t>28.05.2009 - не установ</t>
  </si>
  <si>
    <t>0104
8210075140,244</t>
  </si>
  <si>
    <t>ст.44, п.55</t>
  </si>
  <si>
    <t>Закон Красноярского края от 26.12.2006 № 21-5589 "О наделении органов местного самоуправления муниципальных районов и городских округов края государственными полномочиями по созданию и обеспечению деятельности комиссий по делам несовершеннолетних и защите их прав"</t>
  </si>
  <si>
    <t>01.01.2007 - не установ</t>
  </si>
  <si>
    <t>Постановление Администрации г.Дивногорска от 01.02.2010 № 95п "Об утверждении порядка использования субвенции на реализацию Закона Красноярского края от 26.12.2006 года № 21-5589 "О наделении органов местного самоуправления муниципальных районов и городских округов края государственными полномочиями по созданию и обеспечению деятельности комиссий по делам несовершеннолетних и защите их прав"</t>
  </si>
  <si>
    <t>0104
8210076040,129</t>
  </si>
  <si>
    <t>Закон Красноярского края от 31.10.2002 № 4-608 "О системе профилактики безнадзорности и правонарушений несовершеннолетних"</t>
  </si>
  <si>
    <t>08.12.2002 - не установ</t>
  </si>
  <si>
    <t>0104
8210076040,244</t>
  </si>
  <si>
    <t>Закон края от 11.07.2019 года №7-2988 "О наделении органов местного самоуправления муниципальных районов и городских округов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t>
  </si>
  <si>
    <t>02.09.2008-не установ</t>
  </si>
  <si>
    <t>1006
8210002890,129</t>
  </si>
  <si>
    <t>1006
8210002890,244</t>
  </si>
  <si>
    <r>
      <t xml:space="preserve">1006
</t>
    </r>
    <r>
      <rPr>
        <b/>
        <sz val="8"/>
        <rFont val="Times New Roman"/>
        <family val="1"/>
        <charset val="204"/>
      </rPr>
      <t>8210075870</t>
    </r>
    <r>
      <rPr>
        <sz val="8"/>
        <rFont val="Times New Roman"/>
        <family val="1"/>
        <charset val="204"/>
      </rPr>
      <t>,129</t>
    </r>
  </si>
  <si>
    <r>
      <t xml:space="preserve">1006
</t>
    </r>
    <r>
      <rPr>
        <b/>
        <sz val="8"/>
        <rFont val="Times New Roman"/>
        <family val="1"/>
        <charset val="204"/>
      </rPr>
      <t>8210075870</t>
    </r>
    <r>
      <rPr>
        <sz val="8"/>
        <rFont val="Times New Roman"/>
        <family val="1"/>
        <charset val="204"/>
      </rPr>
      <t>,244</t>
    </r>
  </si>
  <si>
    <t>0104
8210078460,129</t>
  </si>
  <si>
    <t>О709
0140078460,129</t>
  </si>
  <si>
    <t>О709
0140078460,244</t>
  </si>
  <si>
    <t>Федеральный закон от 22 октября 2004 г. N 125-ФЗ "Об архивном деле в Российской Федерации" </t>
  </si>
  <si>
    <t>статья 15</t>
  </si>
  <si>
    <t>22.10.2004 - бессрочный</t>
  </si>
  <si>
    <t xml:space="preserve">Закон Красноярского края от 21.12.2010 № 11-5564 "О наделении органов местного самоуправления государственными полномочиями в области архивного дела"
</t>
  </si>
  <si>
    <t xml:space="preserve">30.12.2010 - бессрочный
</t>
  </si>
  <si>
    <t xml:space="preserve">Постановление администрации города Дивногорска от 30.03.2012 № 67п "Об утверждении порядка использования субвенции на реализацию Закона Красноярского края от 21.12.2010 № 11-5564 «О наделении органов местного самоуправления государственными полномочиями в области архивного дела» </t>
  </si>
  <si>
    <t>0804
0340075190,120</t>
  </si>
  <si>
    <t>0804
0340075190,244</t>
  </si>
  <si>
    <t xml:space="preserve">Федеральный закон от 24.04.2008 г. N 48-ФЗ "Об опеке и попечительстве" </t>
  </si>
  <si>
    <t>01.09.2008 - бессрочный</t>
  </si>
  <si>
    <t xml:space="preserve">Постановление администрации г. Дивногорска от 27.03.2012 № 63п "О наделении государственными полномочиями отдел образования  администрации города Дивногорска" </t>
  </si>
  <si>
    <t>0709
0140075520,120</t>
  </si>
  <si>
    <t>0709
0140075520,244</t>
  </si>
  <si>
    <t>2.4.2.2.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самоуправления-111,121</t>
  </si>
  <si>
    <t>0104
8210074290,121</t>
  </si>
  <si>
    <t>0104
8210075140,121</t>
  </si>
  <si>
    <t>0104
8210076040,121</t>
  </si>
  <si>
    <t>1006
8210002890,120</t>
  </si>
  <si>
    <t>0104
8210078460,121</t>
  </si>
  <si>
    <r>
      <t xml:space="preserve">1006
</t>
    </r>
    <r>
      <rPr>
        <b/>
        <sz val="8"/>
        <rFont val="Times New Roman"/>
        <family val="1"/>
        <charset val="204"/>
      </rPr>
      <t>8210075870</t>
    </r>
    <r>
      <rPr>
        <sz val="8"/>
        <rFont val="Times New Roman"/>
        <family val="1"/>
        <charset val="204"/>
      </rPr>
      <t>,121</t>
    </r>
  </si>
  <si>
    <t>0709
0140078460,121</t>
  </si>
  <si>
    <t>0804
0340075190,121</t>
  </si>
  <si>
    <t>0709
0140075520,121</t>
  </si>
  <si>
    <t>2.4.2.28.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</si>
  <si>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ст.44, п.34</t>
  </si>
  <si>
    <t>Закон Красноярского края от 24.12.2009 № 9-4225 "О наделении органов местного самоуправления отдельных муниципальных районов и городских округов края государственными полномочиями по обеспечению жилыми помещениями детей-сирот и детей, оставшихся без попечения родителей, а также лиц из их числа, не имеющих жилого помещения"</t>
  </si>
  <si>
    <t>01.01.2010 - не установ</t>
  </si>
  <si>
    <t>остановление администрации города от 18.06.2014 № 141п "Об утверждении порядка взаимодействия отделов и специалистов администрации города Дивногорска по реализации зЗакона Красноярского края от 24.12.2009 № 9-4225 "О наделении органов местного самоуправления отдельных муниципальных районов и городских округов края государственными полномочиями по обеспечению жилыми помещениями детей-сирот и детей, оставщихся без попечения родителей, лиц из числа детей-сирот и детей, оставшихся бех попечения родителей"</t>
  </si>
  <si>
    <t xml:space="preserve">1004
014007587.412
</t>
  </si>
  <si>
    <t>Постановление ПравительстваРФ от 30.12.2017 №1710 "Об утверждении государственной программы РФ "Обеспечение доступным и комфортным жильем и коомунальными услугами граждан РФ"</t>
  </si>
  <si>
    <t xml:space="preserve"> Постановление Правительства Красн, краяот 23.01.2025 №34-п "Об утверждении распределения субсидий бюджетам муниципальных образований Красноярского края на предоставление социальных выплат молодым семьям на приобретение (строительство) жилья на 2025 год и пл пер.2026-2027гг"</t>
  </si>
  <si>
    <t>п.п. 3.2</t>
  </si>
  <si>
    <t>с 01.01.2014; действует по настояще время</t>
  </si>
  <si>
    <t>1004
01400L820,412</t>
  </si>
  <si>
    <t>2.4.2.35.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обеспечения деятельности организаций социального обслуживания субъекта Российской Федерации)(024001510)</t>
  </si>
  <si>
    <t>2.4.2.36.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граждан)-0110075540, 0220006400</t>
  </si>
  <si>
    <t>ст.44, п.29</t>
  </si>
  <si>
    <t xml:space="preserve">Закон Красноярского края от 27.10.2005 № 17-4379 «О наделении органов местного самоуправления муниципальных районов и городских округов края государственными полномочиями  по осуществлению присмотра и ухода за детьми инвалидами, детьми сиротами и детьми оставшимися без попечения родителей, а также за детьми с туберкулезной интоксикацией обучающимися в образовательных организациях, реализующих образовательную программу дошкольного образования, без взимания родительской платы», Закон Красноярского края от 26.06.2014 № 6-2519 «Об образовании в Красноярском крае". </t>
  </si>
  <si>
    <t>01.01.2008 - бесрочный</t>
  </si>
  <si>
    <t>Постановление администрации г. Дивногорска от 11.04.2014 № 82п "О порядке расходования и учета субвенций на реализацию государственных полномочий по осуществлению присмотра и ухода за детьми инвалидами, детьми сиротами и детьми оставшимися без попечения родителей, а также за детьми с туберкулезной интоксикацией обучающимися в образовательных организациях, реализующих образовательную программу дошкольного образования, без взимания родительской платы".</t>
  </si>
  <si>
    <t>0701
0110075540,612</t>
  </si>
  <si>
    <t>0701
0110075540,622</t>
  </si>
  <si>
    <t>0701
0110075540,870</t>
  </si>
  <si>
    <t>2.4.2.37.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граждан)0120075660, 011075560</t>
  </si>
  <si>
    <t>1003
0120075660,612</t>
  </si>
  <si>
    <t xml:space="preserve">Постановление администрации города Дивногорска от 07.02.2014 № 08п "О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t>
  </si>
  <si>
    <t>1003
0120075660,622</t>
  </si>
  <si>
    <t>ст.44, п.27,50</t>
  </si>
  <si>
    <t>Закон Красноярского края от 27.12.2005 № 17-4377 "О наделении органов местного самоуправления муниципальных районов и городских округов края государственными полномочиями по обеспечению питанием детей, обучающихся в муниципальных образовательных учреждениях, реализующих основные общеобразовательные программы, без взимания платы"</t>
  </si>
  <si>
    <t>cт.в целом</t>
  </si>
  <si>
    <t>13.01.2006 - не установ</t>
  </si>
  <si>
    <t>1003
0120075660,870</t>
  </si>
  <si>
    <t>Закон Красноярского края от 29.03.2007 № 22-6015 "О наделении органов местного самоуправления муниципальных районов и городских округов края государственными полномочиями по выплате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t>
  </si>
  <si>
    <t>25.04.2007 - не установ</t>
  </si>
  <si>
    <t>1004
0110075560,321</t>
  </si>
  <si>
    <t>2.4.2.41. организации и обеспечения отдыха и оздоровления детей (за исключением организации отдыха детей в каникулярное время), осуществления мероприятий по обеспечению безопасности жизни и здоровья детей в период их пребывания в организациях отдыха детей и их оздоровления, осуществления регионального контроля за соблюдением требований законодательства Российской Федерации в сфере организации отдыха и оздоровления детей, осуществления иных полномочий, предусмотренных Федеральным законом от 24 июля 1998 г.  № 124-ФЗ «Об основных гарантиях прав ребенка в Российской Федерации»</t>
  </si>
  <si>
    <t>ст.44, п. 57</t>
  </si>
  <si>
    <t xml:space="preserve">Закон Красноярского края от 07.07.2009 N 8-3618 "Об обеспечении прав детей на отдых, оздоровление и занятость в Красноярском крае"  </t>
  </si>
  <si>
    <t>0709
013007649,244</t>
  </si>
  <si>
    <t>0709
0130076490,321</t>
  </si>
  <si>
    <t>0709
013007649,323</t>
  </si>
  <si>
    <t>0709
0130076490,612</t>
  </si>
  <si>
    <t>0707/0709
0130076490,622</t>
  </si>
  <si>
    <t>2.4.2.60. на установление подлежащих государственному регулированию цен (тарифов) на товары (услуги) в соответствии с законодательством Российской Федерации</t>
  </si>
  <si>
    <t>ст.44, п.104</t>
  </si>
  <si>
    <t>0502
0810075700,811</t>
  </si>
  <si>
    <t>Закон Красноярского края от 13.06.2013 № 4-1402 "О наделении органов местного самоуправления муниципальных районов и городских округов края отдельными государственными полномочиями по организации проведения мероприятий по отлову, учету, содержанию и иному обращению с безнадзорными домашними животными"</t>
  </si>
  <si>
    <t>11.07.2013 - не установ</t>
  </si>
  <si>
    <t>0412
0810075180,110</t>
  </si>
  <si>
    <t>0412
0810075180,244</t>
  </si>
  <si>
    <t>ст.44, п.143</t>
  </si>
  <si>
    <t>2.5.Расходы на осуществление отдельных государственных полномочий, не переданных, но осуществляемых органами местного самоуправления за счет субвенций из бюджета субъекта Российской Федерации</t>
  </si>
  <si>
    <t>2.5.1.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общего образования в муниципальных общеобразовательных организациях в городской местности)-0120074090, 0120075640.</t>
  </si>
  <si>
    <t xml:space="preserve">Закон Красноярского края от 26.06.2014 № 6-2519 «Об образовании в Красноярском крае" </t>
  </si>
  <si>
    <t>28.07.2014 - бесрочный</t>
  </si>
  <si>
    <t>ст.44, п.27</t>
  </si>
  <si>
    <t>0702
0120074090,611</t>
  </si>
  <si>
    <t>0702
0120074090,621</t>
  </si>
  <si>
    <t>0702
012007564,611</t>
  </si>
  <si>
    <t>0702
012007564,621</t>
  </si>
  <si>
    <t>0702
012007564,870</t>
  </si>
  <si>
    <t>2.5.3.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организациях)-0110074080, 0110075880.</t>
  </si>
  <si>
    <t>0701
0110074080,611</t>
  </si>
  <si>
    <t>Федеральный закон от 29.12.2012 № 273-ФЗ "Об образовании в Российской Федерации"</t>
  </si>
  <si>
    <t>ст.8, часть 1, пункт 3</t>
  </si>
  <si>
    <t>30.12.2012 - не установ</t>
  </si>
  <si>
    <t>0701
0110074080,621</t>
  </si>
  <si>
    <t>0701
0110075880,611</t>
  </si>
  <si>
    <t>0701
0110075880,621</t>
  </si>
  <si>
    <t>2.5.4.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обеспечения дополнительного образования детей в муниципальных общеобразовательных организациях)</t>
  </si>
  <si>
    <t>О703
0120075640,614</t>
  </si>
  <si>
    <t>О703
0120075640,624</t>
  </si>
  <si>
    <t>О703
0120075640,870</t>
  </si>
  <si>
    <t>2.6. Расходные обязательства, возникшие в результате принятия нормативных правовых актов городского округа, заключения соглашений, предусматривающих предоставление межбюджетных трансфертов из бюджета городского округа другим бюджетам бюджетной системы Российской Федерации, всего</t>
  </si>
  <si>
    <t>2.6.1. по предоставлению субсидий в бюджет субъекта Российской Федерации, всего</t>
  </si>
  <si>
    <t>2.6.2. по предоставлению иных межбюджетных трансфертов, всего</t>
  </si>
  <si>
    <t>2.6.2.1. адм Предоставление иных межбюджетных трансфертов на осуществление ликвидационных мероприятий, связанных с прекращением исполнения органами местного самоуправления</t>
  </si>
  <si>
    <t>2.7. Условно утвержденные расходы на первый и второй годы планового периода в соответствии с решением о местном бюджете</t>
  </si>
  <si>
    <t>Итого расходных обязательств муниципальных образований, без учета внутренних оборотов</t>
  </si>
  <si>
    <t>Итого расходных обязательств муниципальных образований</t>
  </si>
  <si>
    <t>разница субв</t>
  </si>
  <si>
    <t>надо субвенций</t>
  </si>
  <si>
    <t>разница общ</t>
  </si>
  <si>
    <t>надо всего</t>
  </si>
  <si>
    <t>РРО городской округ город Дивногорск на 01.01.2026г.
Первичный</t>
  </si>
  <si>
    <t>Объем средств на исполнение расходного обязательства муниципального образования</t>
  </si>
  <si>
    <t>текущий 2026</t>
  </si>
  <si>
    <t>плановый 2027</t>
  </si>
  <si>
    <t>плановый период</t>
  </si>
  <si>
    <t>2028г.</t>
  </si>
  <si>
    <t>2029г.</t>
  </si>
  <si>
    <t>41=42+43+44+45</t>
  </si>
  <si>
    <t>46=47+48+49+50</t>
  </si>
  <si>
    <t>51=52+53+54+55</t>
  </si>
  <si>
    <t>56=57+58+59+60</t>
  </si>
  <si>
    <t>Руководитель 
Финансового управления 
администрации города Дивногорска                                  Л.И. Прикатова</t>
  </si>
  <si>
    <t>Постановление Правительства Красноярского края от 14.05.2025 №409-п "Об утверждении распредления субсидий бюджетам МО на финансирование расходов по капремонту…объектов электросетевого хозяйства, водовснабжения, водоотведения"</t>
  </si>
  <si>
    <t>Соглашение о предоставлении субсидии бюджету Городского округа город Дивногорск Красноярского края из краевого бюджета от 30.06.2025 №32-1</t>
  </si>
  <si>
    <t>30.06.2025-не установлен</t>
  </si>
  <si>
    <t>Постановление Правительства Кр.кр. От 28.01.2025 №50-п "Об утверждении распределении в 2025г субсидий бюджетам МО Кр.кр на реализацию мероприятий ведомственного ропекта Цдороги Красноярья"</t>
  </si>
  <si>
    <t>28.01.2025-не установлен</t>
  </si>
  <si>
    <t>Соглашение о предоставлению бюджету гор окр г.Дивногорск Кр кр из краевого бюджета субсидии на осуществ дор деят в целях решения СЭР территории за счет средств дорожного фонда</t>
  </si>
  <si>
    <t>18.04.2025 №223/С</t>
  </si>
  <si>
    <t>18.04.2025-не установлен</t>
  </si>
  <si>
    <t>в цело</t>
  </si>
  <si>
    <t>18.04.2025 -не установлен</t>
  </si>
  <si>
    <t>Соглашение о предоставлении иного межбюджетного трансферта из кр.бюджета бюджету гор Дивногорска Кр кр от 17.07.2025 №3/26-25</t>
  </si>
  <si>
    <t>Постановление Правтельства Кр кр от 30.09.2013 №514-п "Об утверждении прог Кр кр "Создание условий для обеспечения доступным, комфортным жильем граждан"</t>
  </si>
  <si>
    <t>01.01.2013-не установлен</t>
  </si>
  <si>
    <t>Правила формирования, предоставления и распределения субсидий из краевого бюджета, бюджетам МО КР кр , утвержденными Постановлениями Кркр от 30.09.2015 №495-п</t>
  </si>
  <si>
    <t>01.01.205-не установлен</t>
  </si>
  <si>
    <t>Соглашение о предоставлении бюджету гор окр Дивногорск на софинансирование МП формирование современной городской среды от 16.01.2025 №04709000-1-2025-001</t>
  </si>
  <si>
    <t>01.01.2025-не установлен</t>
  </si>
  <si>
    <t>Постановление Правительства Кр кр от 13.12.2019 №708-п "Об утверждении порядка предоставления и распределения субсидий бюджетам МО для поощрения МО-победителей конкурса лучших проектов создания комфортной городской среды</t>
  </si>
  <si>
    <t>01.01.2020-не установлен</t>
  </si>
  <si>
    <t>Соглашение о предоставлении субсидии местному бюджету из краевого бюджета от 14.02.2025 №15-ЛП</t>
  </si>
  <si>
    <t>Соглашение предоставлении субсидии из бюджета Кр кр бюджету гор окр г.дивногорск на организацию туристко-рекреационной зоны №1 от 06.05.2024</t>
  </si>
  <si>
    <t>06.05.2024-не определен</t>
  </si>
  <si>
    <t>Постановление Правительства Красноярского края от 31.12.2019 № 795-п "Порядок предоставления и распределения субсидий бюджетам муниципальных образований Красноярского края на поддержку деятельности муниципальных молодежных центров</t>
  </si>
  <si>
    <t>31.12.2019-не установлен</t>
  </si>
  <si>
    <t>Устав городского округа город Дивногорск Красноярского края от 26/11/2025 №3-7-нпа</t>
  </si>
  <si>
    <t>ст.59</t>
  </si>
  <si>
    <t>26.12.2025 - не установлен</t>
  </si>
  <si>
    <t>Федеральный закон №33-ФЗ "Об общих принципах организации местного самоуправления в единой системе публичной власти" от 20.03.2025</t>
  </si>
  <si>
    <t xml:space="preserve">Гл.3, ст.13 п.8 </t>
  </si>
  <si>
    <t>20.03.2025-не установлен</t>
  </si>
  <si>
    <t>Устав городского округа город Дивногорск Красноярского края от 26.11.2025 №3-7-НПА</t>
  </si>
  <si>
    <t>Гл. 1, ст.26, п.4.5.6</t>
  </si>
  <si>
    <t xml:space="preserve">Закон Красноярского края от 20.12.2007 N 4-1089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несовершеннолетних".
</t>
  </si>
  <si>
    <t>30.09.2013-не установлен</t>
  </si>
  <si>
    <t>Гл.9, ст.36, п.1, п.п. 20</t>
  </si>
  <si>
    <t>Гл.9, ст.36, п.1, п.п.23</t>
  </si>
  <si>
    <t>постановлением администрации города Дивногорска от 09.09.2022 № 156
п "Об утверждении Порядка определения объема и условий Предоставления субсидий на иные
цели из бюджета городского округа город Дивногорск муниципальным учреждениям городского
округа город Дивногорск"</t>
  </si>
  <si>
    <t>постановлением Администрации города Дивногорска от 18.11.2015 № 182п "Об
утверждении Порядка формирования муниципального задания в отношении муниципальных
учреждений и финансового обеспечения выполнения муниципального задания"</t>
  </si>
  <si>
    <t>Гл.9, ст.36, п.1, п.п.40</t>
  </si>
  <si>
    <t>16.12.2025. - не установлен</t>
  </si>
  <si>
    <t>Гл.9, ст.36 п.1 п.п.16</t>
  </si>
  <si>
    <t xml:space="preserve">Закон Красноярского края от 5 декабря 2024 г. N 8-3382 "О краевом бюджете на 2025 год и плановый период 2026 - 2027 годов" </t>
  </si>
  <si>
    <t>01.01.2025 - 31.12.2027</t>
  </si>
  <si>
    <t>ст.1 целом</t>
  </si>
  <si>
    <t>02.11.2000-не установлен</t>
  </si>
  <si>
    <t>Распоряжение администрации города Дивногорска от 26.02.2025 № 228р " Об организации отдыха, оздаровления детей и подростков"</t>
  </si>
  <si>
    <t>Постановление администрации г. Дивногорска от 12.12.2017 № 231п "Об утверждении порядка расходования субвенции на финансовое обеспечение государственных гарантий прав граждан на получение общедоступного и бесплатного дошкольного, начального общего, основного общего, среднего общего образования, дополнительного образования детей в муниципальных образовательных организациях".  Постановление администрации г. Дивногорска от 04.08.2025 №93п «Об утверждении Примерного положения об оплате труда работников муниципальных учреждений, подведомственных отделу образования администрации города Дивногорска"</t>
  </si>
  <si>
    <t>Гл.7, ст.24, п.25</t>
  </si>
  <si>
    <t>Гл.7, ст.24, 25</t>
  </si>
  <si>
    <t>11.12.2021 не установлен</t>
  </si>
  <si>
    <t>21.04.2016-не установен</t>
  </si>
  <si>
    <t>24.09.2019г-не установлен</t>
  </si>
  <si>
    <t>от 09.09.2022 -не установлен</t>
  </si>
  <si>
    <t>09.09.2022-не установлен</t>
  </si>
  <si>
    <t>18.05.2012-не установлен</t>
  </si>
  <si>
    <t>23.04.2009-не установлен</t>
  </si>
  <si>
    <t>18.11.2015 - не установлен</t>
  </si>
  <si>
    <t>09.09.2022 не устаовлено</t>
  </si>
  <si>
    <t>от 31.12.2019-не установлен</t>
  </si>
  <si>
    <t>от 18.05.2012-не установлен</t>
  </si>
  <si>
    <t>от 30.03.2012-не установлен</t>
  </si>
  <si>
    <t>от 26.11.2021 -не установлен</t>
  </si>
  <si>
    <t>18.11.2015 не установлен</t>
  </si>
  <si>
    <t>21.05.2024-31.12.2025</t>
  </si>
  <si>
    <t>23.12.2022 не установлен</t>
  </si>
  <si>
    <t>Распоряжение Правительства Красноярского края от 1 апреля 2026 г. N 270-р Об утверждении распределения субсидий бюджетам муниципальных образований Красноярского края на развитие детско-юношеского спорта в 2026 году</t>
  </si>
  <si>
    <t>Постановление Правительства Красноярского края от 6 февраля 2026 г. N 112-п "Об утверждении распределения иных межбюджетных трансфертов бюджетам муниципальных образований Красноярского края на поддержку физкультурно-спортивных клубов по месту жительства на 2026 год"</t>
  </si>
  <si>
    <t>26.03.2025-не установлен</t>
  </si>
  <si>
    <t>01.04.2026-не установлен</t>
  </si>
  <si>
    <t>06.02.2026-не установлен</t>
  </si>
  <si>
    <t>с 03.09.2024-31.12.2025</t>
  </si>
  <si>
    <t xml:space="preserve"> 23.12.2022не установлен</t>
  </si>
  <si>
    <t xml:space="preserve">Распоряжение Правительства Красноярского края от 7 апреля 2026 г. N 285-р Об утверждении распределения субсидии бюджетам муниципальных образований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и муниципальных образовательных организациях в 2026 году
</t>
  </si>
  <si>
    <t xml:space="preserve"> 09.09.2022 не сстановлен</t>
  </si>
  <si>
    <t>Гл.9, ст.36, п.1, п.п.16</t>
  </si>
  <si>
    <t>от 19.09.2024-не установлен</t>
  </si>
  <si>
    <t>27.03.2024-не установлен</t>
  </si>
  <si>
    <t>от 28.08.2025- не установлен</t>
  </si>
  <si>
    <t>Закон Красноярского края от 04.07.2024 № 7-2981 "О внесении изменений в ЗК"О защите населения и территории Кр.кр. О чрезвычайных ситуаций природного и техногенного характера" и признании утратившим силу з-на края "О резервах материально-технических ресурсов для ликвидации чрезвычайных ситуаций на территории Красноярского края"</t>
  </si>
  <si>
    <t>26.11.2024-не установлен</t>
  </si>
  <si>
    <t>Гл.9,ст.36, п.1, п.п.-11</t>
  </si>
  <si>
    <t>ст.16, п. 1, п.п.8</t>
  </si>
  <si>
    <t>Гл.9, ст.36, п. 1, п.п.14</t>
  </si>
  <si>
    <t>ст. 16, п.1, п.п.10</t>
  </si>
  <si>
    <t>06.10.2003-не установлен</t>
  </si>
  <si>
    <t>ст.36 п.1 п.п.16</t>
  </si>
  <si>
    <t>до 31.12.2025</t>
  </si>
  <si>
    <t xml:space="preserve"> Закон Красноярского края от 27.12.2005 N 17-4377 "О наделении органов местного самоуправления муниципальных районов и городских округов края государственными полномочиями по обеспечению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t>
  </si>
  <si>
    <t>ст 1</t>
  </si>
  <si>
    <t>27.12.2005- не установлен</t>
  </si>
  <si>
    <t>Постановление Правительства Красноярского края от 14 сентября 2021 г. N 628-П
"Об утверждении Порядка учета и исчисления величины среднедушевого дохода семьи для определения права на получение мер социальной поддержки</t>
  </si>
  <si>
    <t>14.09.2021 не установлен</t>
  </si>
  <si>
    <t>14.12.2016 не установлен</t>
  </si>
  <si>
    <t xml:space="preserve">30.01.2024 не установлен </t>
  </si>
  <si>
    <t>09.09.2022 не установлен</t>
  </si>
  <si>
    <t>от 16.05.2012-не установлен</t>
  </si>
  <si>
    <t>Постановление администрации г. Дивногорска от 16.05.2012 № 119п "Об утверждении Положения о системах оплаты труда работников муниципальных учреждений города Дивногорска"
 Постановление администрации г. Дивногорска от 04.08.2025 №93п «Об утверждении Примерного положения об оплате труда работников муниципальных учреждений, подведомственных отделу образования администрации города Дивногорска"</t>
  </si>
  <si>
    <t>16.05.2012 не установлен</t>
  </si>
  <si>
    <t>18.06.2015 не установлен</t>
  </si>
  <si>
    <t>01.11.2022 не установлен</t>
  </si>
  <si>
    <t xml:space="preserve"> Закон Красноярского края от 20.12.2007 N 4-1089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несовершеннолетних".
</t>
  </si>
  <si>
    <t>0211..2000 - не установ</t>
  </si>
  <si>
    <t xml:space="preserve"> 27.03.2012 не установлен</t>
  </si>
  <si>
    <t>11.04.2014 не установлен</t>
  </si>
  <si>
    <t>07.02.2014 не установлен</t>
  </si>
  <si>
    <t>от 26.02.2025 -не установлен</t>
  </si>
  <si>
    <t>от 07.07.2009 -не установлен</t>
  </si>
  <si>
    <t>12.12.2017 не установлен</t>
  </si>
  <si>
    <t>от 30.12.2017-не установлен</t>
  </si>
  <si>
    <t>от 30.12.2017 -yt ecnfyjdkty</t>
  </si>
  <si>
    <t>от 24.12.2009-не установлен</t>
  </si>
  <si>
    <t>Закон Красноярского края от 24.12.2009 № 9-4225 "О наделении органов местного самоуправления отдельных муниципальных районов и городских округов края государственными полномочиями по обеспечению жилыми помещениями детей-сирот и детей, оставшихся без попеч</t>
  </si>
  <si>
    <t>от 10.09.2014</t>
  </si>
  <si>
    <t>от 09.04.2012 -не установлен</t>
  </si>
  <si>
    <t>от 01.02.2010-не установлен</t>
  </si>
  <si>
    <t>в елом</t>
  </si>
  <si>
    <t>от 29 апреля 2006-не установлен</t>
  </si>
  <si>
    <t>от 23.05.2012-не установлен</t>
  </si>
  <si>
    <t>от 28.02.2013-не установлен</t>
  </si>
  <si>
    <t>от 25.09.2024-не установлен</t>
  </si>
  <si>
    <t>от 26.06.2024 -не установлен</t>
  </si>
  <si>
    <t>от 20.01.2025-не установлен</t>
  </si>
  <si>
    <t>Гл.9, п.2,п.п.8</t>
  </si>
  <si>
    <t>от19.01.2022г.-не установлен</t>
  </si>
  <si>
    <t>14.12.2010-не установлен</t>
  </si>
  <si>
    <t>Гл.9, ст.36, п.2, п.п.3</t>
  </si>
  <si>
    <t>Гл.11, ст.59 в целом</t>
  </si>
  <si>
    <t>Гл.9, ст.36,п.1, п.п.42</t>
  </si>
  <si>
    <t>Постановление Правительства РФ от 25.10.2023 №1782"Об утверждении общих требований к нормативным правовым актам, муниципальным правовым актам, регулирующим предоставление из бюджетов субъектов РФ, местных бюджетов субсидий, в т.ч. Грантов в форме субсидий, юридическим лицам, индивидуальным предпринимателям, а также физическим лицам-производителям товаров, работ,услуг и проведение отборов получателей указанных субсидий, вт.ч.грантов в форме субсидий"</t>
  </si>
  <si>
    <t>25.10.2023-не установлен</t>
  </si>
  <si>
    <t>Гл.9, ст.36,п.1, п.п.40</t>
  </si>
  <si>
    <t>Гл.9,ст.36 п.1 п.п16</t>
  </si>
  <si>
    <t>Устав старый -оплала в мае</t>
  </si>
  <si>
    <t>Распоряжение администрации города Дивногорска от 21.03.2025 №336р "ОБ утверждении порядка расходования субсидии, предоставляемой в 2025г бюджету г.Дивногорска из краевого бюджета на предоставление соц выплат молодым семья на приобретение (строительство) жилья</t>
  </si>
  <si>
    <t xml:space="preserve">в целом </t>
  </si>
  <si>
    <t>21.03.2025-не уситановлен</t>
  </si>
  <si>
    <t>Соглашение о предоставлении иного межбюджетного трансферта из бюджета
Красноярского края бюджету городского округа город Дивногорск Красноярского края
на выплату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в 2026–2028 годах</t>
  </si>
  <si>
    <t>26.01.2026 по 31.12.2028</t>
  </si>
  <si>
    <t>постановлением Правительства Красноярского края от
19.09.2024 № 658-п «Об утверждении Методики распределения иных межбюджетных
трансфертов бюджетам муниципальных образований Красноярского края на выплату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правил их предоставления»</t>
  </si>
  <si>
    <t>19.09.2024 не установлено</t>
  </si>
  <si>
    <t xml:space="preserve">постановлением Правительства Красноярского края от 15.09.2020 № 622-п «Об
утверждении Методики распределения иных межбюджетных трансфертов бюджетам
муниципальных образований Красноярского края на выплату ежемесячного денежного
вознаграждения за классное руководство педагогическим работникам муниципальных
образовательных организаций и правил их предоставления» </t>
  </si>
  <si>
    <t>15.09.2020 не установлено</t>
  </si>
  <si>
    <t>Соглашение о предоставлении иного межбюджетного трансферта из бюджета
Красноярского края местному бюджету городского округа город Дивногорск на выплату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2026-
2028 годах</t>
  </si>
  <si>
    <t>постановлением Правительства Красноярского края от 31.12.2019 № 828-п «Об утверждении Порядка предоставления и распределения субсидии бюджетам муниципальных образований Красноярского края на приведение зданий и сооружений общеобразовательных организаций в соответствие с требованиями законодательства»</t>
  </si>
  <si>
    <t xml:space="preserve"> 31.12.2019  не устанговлено</t>
  </si>
  <si>
    <t xml:space="preserve">Соглашение 
о  предоставлении субсидии бюджету городского округа город Дивногорск на приведение зданий и сооружений общеобразовательных организаций 
в соответствие с требованиями законодательства на 2026 – 2028 годы
</t>
  </si>
  <si>
    <t xml:space="preserve">до полного исполнения </t>
  </si>
  <si>
    <t>постановлением Правительства Красноярского края от 20.05.2022 № 439-п «Об
утверждении Порядка предоставления и распределения субсидий бюджетам
муниципальных образований на приобретение оборудования в целях реализации
мероприятий по модернизации школьных систем образования»</t>
  </si>
  <si>
    <t>20.05.2022 не установлен</t>
  </si>
  <si>
    <t>Соглашение о предоставлении субсидии из бюджета Красноярского края бюджету
городского округа город Дивногорск на приобретение оборудования в целях реализации
мероприятий по модернизации школьных систем образования в 2026-2028 годах</t>
  </si>
  <si>
    <t>по  31.12.2026</t>
  </si>
  <si>
    <t>Соглашение о предоставлении иного межбюджетного трансферта, имеющего целевое
назначение, из бюджета Красноярского края бюджету городского округа города
Дивногорска на обеспечение деятельности советников директоров по воспитанию и
взаимодействию с детскими общественными объединениями в общеобразовательных
организациях на 2026–2028 годы</t>
  </si>
  <si>
    <t>с 23.12.2026 по 31.12.2028</t>
  </si>
  <si>
    <t>Федеральный закон от 13 июля 2020 года № 189-ФЗ «О государственном (муниципальном) социальном заказе на оказание государственных (муниципальных) услуг в социальной сфере»</t>
  </si>
  <si>
    <t xml:space="preserve">часть 3 статьи 6 и часть 5 статьи 7 </t>
  </si>
  <si>
    <t>13.07.20 не установлено</t>
  </si>
  <si>
    <t>от 18.09.2020</t>
  </si>
  <si>
    <t>постановлением Администрации города Дивногорска от 14.06.2023 № 76пО Порядке формирования муниципальных социальных заказов на оказание муниципальных услуг в социальной сфере, отнесенных к полномочиям органов местного самоуправления города Дивногорска, о форме и сроках формирования отчета об их исполнении</t>
  </si>
  <si>
    <t>14.06.2023 не установлено</t>
  </si>
  <si>
    <t xml:space="preserve"> № 131-ФЗ "Об общих принципах организации местного самоуправления в РФ". </t>
  </si>
  <si>
    <t>Постановление Правительства Российской Федерации от 30.12.2017 №1710 «Об утверждении государственной программы «Обеспечение доступным и комфортным жильем и коммунальными услугами граждан Российской Федерации»</t>
  </si>
  <si>
    <t>01.01.2008-не установлен</t>
  </si>
  <si>
    <t>30.12.2017-не установлен</t>
  </si>
  <si>
    <t>Гл.9, ст.36, п.1, п.п.8</t>
  </si>
  <si>
    <t>Гл.9,ст.36,  п.1,п.п.24</t>
  </si>
  <si>
    <t>.гл.9, ст.36, п.1, п.п.27</t>
  </si>
  <si>
    <t>Гл.9,ст.36,п.п1,п.п.28</t>
  </si>
  <si>
    <t>Постановление Администрации города Дивногорска от19.01.2022г.   № 12п "Об утверждении Положения об оплате труда работников мку "управление закупками г.Дивногорска"</t>
  </si>
  <si>
    <t>Решение Дивногоского городского Совета депПостановление №915п от 14.12.2010 "Об утверждении порядка создания, реорганизации, изменения типа и ликвидацииПостановление администрации г.Дивногорска от 08.11.2021 №177п "О создании мку "Управление закупками г.Дивногорска"</t>
  </si>
  <si>
    <t>Решение Дивногорского городского совета депутатов " Об утверждении Положения о порядке управления и распоряжения муниципальным имцществом МО город Дивногорск"  от 24.03.2011 № 12-76-ГС</t>
  </si>
  <si>
    <t>24.03.2011 - не установлен</t>
  </si>
  <si>
    <t>гл.9, ст.36 п.1, п.п.4</t>
  </si>
  <si>
    <t>соглашение о предоставлении бюджету ГО г.Дивногорск Красн кр из краевого бюджета субсидии на осуществление дорожной деятельности в целях решения задач СЭР территорий за счет средств дорожного фонда КРасноярского края № 23/с от 25.02.2026</t>
  </si>
  <si>
    <t>25.02.2026-31.12.2026</t>
  </si>
  <si>
    <t>соглашение о предоставлении бюджету ГО г.Дивногорск Красн кр из краевого бюджета субсидии на капитальный ремонт и ремонт автомобилдьных дорог общего пользования местного значения за счет средств дорожного фонда Красноярского края № 47/с от 23.03.2026</t>
  </si>
  <si>
    <t>23.03.2026- 31.12.2026</t>
  </si>
  <si>
    <t>гл.9, ст.36 п.1, п.п.6</t>
  </si>
  <si>
    <t>26.11.2025 - не установлен</t>
  </si>
  <si>
    <t>Сослашение о предоставлении бюджету гор окр г.Дивногорск Красн кр из краевого бюджета субсидии на капремонт и ремонт автодорог общего пользования местного значения за счет средств дорожного фонда Кр кр</t>
  </si>
  <si>
    <t>2025-31.12.2026</t>
  </si>
  <si>
    <t>26.12.2026- не установлен</t>
  </si>
  <si>
    <t>Федеральный закон №185-ФЗ от 21.07.2007 «О Фонде  содействия реформированию жилищно-коммунального хозяйства» (далее Фонд)</t>
  </si>
  <si>
    <t>Решение Дивногорского городского Совета депутатов " Об  утверждении Положения об управлении муниципальным жилым фондом в МО город Дивногорск" от 06.04.2006 № 15-88-ГС</t>
  </si>
  <si>
    <t>04.06.2011- не установлен</t>
  </si>
  <si>
    <t>Закон Красноярского края от 16.03.2017 №3-502 "Об организации транспортного обслуживания населения в Красноярском крае"</t>
  </si>
  <si>
    <t>16.03.2017 -не установлен</t>
  </si>
  <si>
    <t>Постановление адм г.Дивногорска от 10.04.2024 № 59п  "Об утверждении Порядка предоставления субсидий из бюджета города на возмещение недополученных доходов, возникающих в результате небольшой интенсивности пассажиропотоков, организациям, выполняющим перевозки пассажиров автомобильным транспортом по муниципальным маршрутам регулярных пассажирских перевозок "</t>
  </si>
  <si>
    <t>10.04.2024- не установлен</t>
  </si>
  <si>
    <t>Постановлением Главного государственного санитарного врача РФ от 28.01.2021 № «Об утверждении санитарных правил и норм СанПиН 3.3686-21 «Санитарно-эпидемиологические требования по профилактике инфекционных болезней».</t>
  </si>
  <si>
    <t>28.01.2021- не установлен</t>
  </si>
  <si>
    <t>Гл.9, ст.36, п.1, п.п.26</t>
  </si>
  <si>
    <t xml:space="preserve">Постановление администрации города Дивногорска от 04.03.2022 №37п  "Об утверждении Устав МКУ "УСГХ" </t>
  </si>
  <si>
    <t>06.04.2022- не установлен</t>
  </si>
  <si>
    <t>постановление  администрации города Дивногорска от 06.04.2022 № 53п «Об утверждении  Положения об оплате труда работников муниципального казенного 
учреждения «Управление капитального строительства и городского хозяйства»</t>
  </si>
  <si>
    <t xml:space="preserve">Закон Красноярского края от 01.12.2014 N 7-2835
"Об отдельных мерах по обеспечению ограничения платы граждан за коммунальные услуги"
</t>
  </si>
  <si>
    <t>09.03.2019- не установлен</t>
  </si>
  <si>
    <t xml:space="preserve">Закон Красноярского края от 01.12.2014 N 7-2839
"О наделении органов местного самоуправления городских округов, муниципальных округов края отдельными государственными полномочиями Красноярского края по реализации отдельных мер по обеспечению ограничения платы граждан за коммунальные услуги"
</t>
  </si>
  <si>
    <t>01.12.2014 - не установлен</t>
  </si>
  <si>
    <t>Постановление адм г.Дивногорска от 05.06.2024 №61п  "Об утверждении Порядка предоставления субсидии на компенсацию части платы  граждан за коммунальные услугиисполнителям коммунальных услуг на территории ГО город Дивногорск"</t>
  </si>
  <si>
    <t>05.06.2024-  не установлен</t>
  </si>
  <si>
    <t xml:space="preserve">Постановление Правительства Красноярского края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от 30.09.2015 № 495-п
</t>
  </si>
  <si>
    <t>30.09.2015- не установлен</t>
  </si>
  <si>
    <t>Гл.9, ст.36,п.1, п.п.29</t>
  </si>
  <si>
    <t>28..12.2024-не установлен</t>
  </si>
  <si>
    <t>Гл.9, ст.38, п.1, п.п.11</t>
  </si>
  <si>
    <t>Постановление администрации города Дивногорска от 30.09.2013 №196-п "Об утверждении положения об оплате труда работников Администрации города Дивногорска, не являющихся лицами замещающими должности муниципальной службы"</t>
  </si>
  <si>
    <t>от 30.09.2013-не установлен</t>
  </si>
  <si>
    <t>Постановление администрации города Дивногорска от 30.09.2013 №197-п "Об утверждении положения об оплате труда работников Финансового управления администрации города Дивногорска, не являющихся лицами замещающими должности муниципальной службы"</t>
  </si>
  <si>
    <t>Решение Дивногорского городского Совета депутатов администрации города Дивногорска от 30.03.2013г. №141р "Положение о новой системе оплаты труда водителю"</t>
  </si>
  <si>
    <t>от 30.03.2013г</t>
  </si>
  <si>
    <t>Соглашение о предоставлении иного межбюджетного трансферта из краевого бюджета бюджету города Дивногорска Красн.кр.на обеспечение первичных мер пожарной безопасности от 31.01.2025 №2ПМ</t>
  </si>
  <si>
    <t>от 31.01.2025 №2ПМ-не установлен</t>
  </si>
  <si>
    <t>ДопСоглашение к соглашению о взаимодействии минстроительства и жкх Краснкр и адм города Дивногорска по реалихзации в 2025-2027гг по обеспеч жилпомещ детей сирот...в возрасте 23 лет от 28.12.2024 №5-дс</t>
  </si>
  <si>
    <t>от 28.12.2024 №5-дсне установлен</t>
  </si>
  <si>
    <t xml:space="preserve"> от 14.05.2025г-21.12.2025</t>
  </si>
  <si>
    <t>от 21.01.2025-не установлен</t>
  </si>
  <si>
    <t>Соглашение о предоставлении субсидии местному бюджету из краевого бюджета от 17.04.2024 №9</t>
  </si>
  <si>
    <t>от 17.04.2024 до 21.12.2025</t>
  </si>
  <si>
    <t>Постановление правительства Красноярского края от 28.12.2021 №969-п "Об утверждении правилпредоставления и методики распределения иных межбюджетных трансфертов из краевого бюджета бюджетам МО Красн кр на реализацию мероприятий по неспецифической профилактике инфекций, передающих иксодовыми клещами, путем организации и проведения акарицидных обработок наиболее посещаемых населением участков территории природных очагов клещевых инфекций</t>
  </si>
  <si>
    <t>от 28.12.2021-не установлен</t>
  </si>
  <si>
    <t xml:space="preserve">Постановление
администрации г. Дивногорска от  № 49п от 15.04.2019 «Об утверждении
Положения о материальном стимулировании деятельности народных
дружинников»
ФЗ «Об участии граждан в охране общественного порядка», </t>
  </si>
  <si>
    <t>от 15.04.2019-не установлен</t>
  </si>
  <si>
    <t>Федеральный закон от 02.04.2014 №44-ФЗ "Об участии граждан в охране общественного порядка"</t>
  </si>
  <si>
    <t>от 02.04.2014-не установлен</t>
  </si>
  <si>
    <t>01.01.2025-31.12.2025</t>
  </si>
  <si>
    <t>Решение Дивногорского городского суда от 26.07.2024 № 2-92/2024</t>
  </si>
  <si>
    <t>от 26.07.2024-не определен</t>
  </si>
  <si>
    <t>Дополнительное соглашение к Соглашению о предоставлении бюджету городского округа город Дивногорск  субсидии на увеличение охвата детей, обучающихся по дополнительным общеразвивающим программам в 2025 году № 14 от 28.07.2023</t>
  </si>
  <si>
    <t>06.11.2025 по 31.12.2025</t>
  </si>
  <si>
    <t>Соглашение о предоставлении субсидии бюджету муниципального образования
Красноярского края на техническое оснащение муниципальных музеев № 04709000-1-2026-010</t>
  </si>
  <si>
    <t>27.01.2026 по 31.12.2026</t>
  </si>
  <si>
    <t>Cоглашение о предоставлении субсидии из бюджета субъекта Российской Федерации
местному бюджету № 04709000-1-2026-011</t>
  </si>
  <si>
    <t>28.01.2026 по 31.12.2026</t>
  </si>
  <si>
    <t>Соглашение о предоставлении субсидии местному бюджету из краевого бюджета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 3МБТ25</t>
  </si>
  <si>
    <t>В целм</t>
  </si>
  <si>
    <t>14.05.2025-31.12.2025</t>
  </si>
  <si>
    <t>Соглашение о предоставлении субсидии местному бюджету из краевого бюджета на обеспечение муниципальных организаций, осуществляющих спортивную подготовку, в соответствии с требованиями федеральных стандартов спортивной подготовки в 2025 году № 04ФССП25</t>
  </si>
  <si>
    <t>14.05.2025 - 31.12.2025</t>
  </si>
  <si>
    <t>Соглашение о предоставлении субсидии местному бюджету из краевого бюджета на развитие детско-юношеского спорта в 2025 году № 03ДЮС25</t>
  </si>
  <si>
    <t>Соглашение о предоставлении иного межбюджетного трансферта из краевого бюджета местному бюджету № 4к</t>
  </si>
  <si>
    <t>с 17.02.2025 - 31.12.2025</t>
  </si>
  <si>
    <t>Соглашение о предоставлении субсидии местному бюджету из краевого бюджета № 3</t>
  </si>
  <si>
    <t>28.01.2025 - 31.12.2025</t>
  </si>
  <si>
    <t>Соглашение о предаставлении субсидии из бюджета субьекта  Российской Федирации местному бюджету</t>
  </si>
  <si>
    <t>21.01.2025 по 31.12.2025</t>
  </si>
  <si>
    <t>0412
06200S6070/ 811</t>
  </si>
  <si>
    <r>
      <rPr>
        <b/>
        <sz val="8"/>
        <rFont val="Times New Roman"/>
        <family val="1"/>
        <charset val="204"/>
      </rPr>
      <t>гх</t>
    </r>
    <r>
      <rPr>
        <sz val="8"/>
        <rFont val="Times New Roman"/>
        <family val="1"/>
        <charset val="204"/>
      </rPr>
      <t>-</t>
    </r>
    <r>
      <rPr>
        <b/>
        <sz val="8"/>
        <rFont val="Times New Roman"/>
        <family val="1"/>
        <charset val="204"/>
      </rPr>
      <t>2.4.2.85.1</t>
    </r>
    <r>
      <rPr>
        <sz val="8"/>
        <rFont val="Times New Roman"/>
        <family val="1"/>
        <charset val="204"/>
      </rPr>
      <t>. Установление порядка организации деятельности приютов для животных и норм содержания животных в них, порядка осуществления деятельности по обращению с животными без владельцев, а также организации мероприятий при осуществлении деятельности по обращению с животными без владельцев;.3285.1.0412.1 010,7.325,0.1 010,7"</t>
    </r>
  </si>
</sst>
</file>

<file path=xl/styles.xml><?xml version="1.0" encoding="utf-8"?>
<styleSheet xmlns="http://schemas.openxmlformats.org/spreadsheetml/2006/main">
  <numFmts count="1">
    <numFmt numFmtId="164" formatCode="dd/mm/yy;@"/>
  </numFmts>
  <fonts count="18">
    <font>
      <sz val="11"/>
      <color theme="1"/>
      <name val="Calibri"/>
      <family val="2"/>
      <charset val="204"/>
      <scheme val="minor"/>
    </font>
    <font>
      <sz val="8"/>
      <name val="Times New Roman"/>
      <family val="1"/>
      <charset val="204"/>
    </font>
    <font>
      <b/>
      <sz val="8"/>
      <name val="Times New Roman"/>
      <family val="1"/>
      <charset val="204"/>
    </font>
    <font>
      <sz val="8"/>
      <name val="Calibri"/>
      <family val="2"/>
      <charset val="204"/>
      <scheme val="minor"/>
    </font>
    <font>
      <sz val="10"/>
      <name val="Arial Cyr"/>
      <charset val="204"/>
    </font>
    <font>
      <sz val="11"/>
      <color theme="1"/>
      <name val="Calibri"/>
      <family val="2"/>
      <scheme val="minor"/>
    </font>
    <font>
      <sz val="8"/>
      <color theme="1"/>
      <name val="Times New Roman"/>
      <family val="1"/>
      <charset val="204"/>
    </font>
    <font>
      <sz val="8"/>
      <color rgb="FF22272F"/>
      <name val="Times New Roman"/>
      <family val="1"/>
      <charset val="204"/>
    </font>
    <font>
      <sz val="7"/>
      <name val="Times New Roman"/>
      <family val="1"/>
      <charset val="204"/>
    </font>
    <font>
      <sz val="9"/>
      <name val="Times New Roman"/>
      <family val="1"/>
      <charset val="204"/>
    </font>
    <font>
      <sz val="10"/>
      <name val="Arial"/>
      <family val="2"/>
      <charset val="204"/>
    </font>
    <font>
      <b/>
      <sz val="10"/>
      <name val="Times New Roman"/>
      <family val="1"/>
      <charset val="204"/>
    </font>
    <font>
      <sz val="16"/>
      <name val="Times New Roman"/>
      <family val="1"/>
      <charset val="204"/>
    </font>
    <font>
      <sz val="10"/>
      <name val="Times New Roman"/>
      <family val="1"/>
      <charset val="204"/>
    </font>
    <font>
      <b/>
      <sz val="11"/>
      <name val="Times New Roman"/>
      <family val="1"/>
      <charset val="204"/>
    </font>
    <font>
      <sz val="11"/>
      <name val="Times New Roman"/>
      <family val="1"/>
      <charset val="204"/>
    </font>
    <font>
      <sz val="6"/>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22">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4">
    <xf numFmtId="0" fontId="0" fillId="0" borderId="0"/>
    <xf numFmtId="0" fontId="4" fillId="0" borderId="0"/>
    <xf numFmtId="0" fontId="5" fillId="0" borderId="0"/>
    <xf numFmtId="0" fontId="10" fillId="0" borderId="0"/>
  </cellStyleXfs>
  <cellXfs count="358">
    <xf numFmtId="0" fontId="0" fillId="0" borderId="0" xfId="0"/>
    <xf numFmtId="0" fontId="1" fillId="2" borderId="0" xfId="0" applyFont="1" applyFill="1"/>
    <xf numFmtId="0" fontId="1" fillId="2" borderId="1" xfId="0" applyFont="1" applyFill="1" applyBorder="1" applyAlignment="1">
      <alignment horizontal="center" vertical="center"/>
    </xf>
    <xf numFmtId="0" fontId="1" fillId="2" borderId="1" xfId="0" applyFont="1" applyFill="1" applyBorder="1" applyAlignment="1"/>
    <xf numFmtId="0" fontId="1" fillId="2" borderId="1" xfId="0" applyFont="1" applyFill="1" applyBorder="1"/>
    <xf numFmtId="0" fontId="1" fillId="2" borderId="0" xfId="0" applyFont="1" applyFill="1" applyAlignment="1">
      <alignment horizontal="center" vertical="center"/>
    </xf>
    <xf numFmtId="0" fontId="1" fillId="2" borderId="0" xfId="0" applyFont="1" applyFill="1" applyAlignment="1"/>
    <xf numFmtId="49" fontId="1" fillId="2" borderId="14" xfId="0" applyNumberFormat="1" applyFont="1" applyFill="1" applyBorder="1" applyAlignment="1">
      <alignment horizontal="center" vertical="center" wrapText="1"/>
    </xf>
    <xf numFmtId="0" fontId="2" fillId="2" borderId="6" xfId="0" applyFont="1" applyFill="1" applyBorder="1" applyAlignment="1">
      <alignment horizontal="justify" wrapText="1"/>
    </xf>
    <xf numFmtId="0" fontId="2" fillId="2" borderId="14" xfId="0" applyFont="1" applyFill="1" applyBorder="1" applyAlignment="1">
      <alignment horizontal="center" vertical="center"/>
    </xf>
    <xf numFmtId="2" fontId="2" fillId="2" borderId="14" xfId="0" applyNumberFormat="1" applyFont="1" applyFill="1" applyBorder="1"/>
    <xf numFmtId="0" fontId="1" fillId="2" borderId="2" xfId="0" applyFont="1" applyFill="1" applyBorder="1" applyAlignment="1">
      <alignment horizontal="justify" wrapText="1"/>
    </xf>
    <xf numFmtId="0" fontId="1" fillId="2" borderId="14" xfId="0" applyFont="1" applyFill="1" applyBorder="1" applyAlignment="1"/>
    <xf numFmtId="0" fontId="1" fillId="2" borderId="14" xfId="0" applyFont="1" applyFill="1" applyBorder="1"/>
    <xf numFmtId="0" fontId="1" fillId="2" borderId="15" xfId="0" applyFont="1" applyFill="1" applyBorder="1" applyAlignment="1">
      <alignment horizontal="justify" vertical="top" wrapText="1"/>
    </xf>
    <xf numFmtId="0" fontId="1" fillId="2" borderId="16" xfId="0" applyFont="1" applyFill="1" applyBorder="1" applyAlignment="1">
      <alignment horizontal="justify" vertical="top" wrapText="1"/>
    </xf>
    <xf numFmtId="0" fontId="1" fillId="2" borderId="14" xfId="0" applyFont="1" applyFill="1" applyBorder="1" applyAlignment="1">
      <alignment horizontal="center" vertical="center"/>
    </xf>
    <xf numFmtId="0" fontId="2" fillId="2" borderId="15" xfId="0" applyFont="1" applyFill="1" applyBorder="1" applyAlignment="1">
      <alignment horizontal="justify" vertical="top" wrapText="1"/>
    </xf>
    <xf numFmtId="0" fontId="2" fillId="2" borderId="15" xfId="0" applyFont="1" applyFill="1" applyBorder="1" applyAlignment="1">
      <alignment horizontal="center" wrapText="1"/>
    </xf>
    <xf numFmtId="0" fontId="2" fillId="2" borderId="14" xfId="0" applyFont="1" applyFill="1" applyBorder="1" applyAlignment="1"/>
    <xf numFmtId="0" fontId="2" fillId="2" borderId="14" xfId="0" applyFont="1" applyFill="1" applyBorder="1"/>
    <xf numFmtId="0" fontId="2" fillId="2" borderId="0" xfId="0" applyFont="1" applyFill="1"/>
    <xf numFmtId="0" fontId="1" fillId="2" borderId="17" xfId="0" applyFont="1" applyFill="1" applyBorder="1" applyAlignment="1">
      <alignment horizontal="center" wrapText="1"/>
    </xf>
    <xf numFmtId="0" fontId="1" fillId="2" borderId="14" xfId="0" applyFont="1" applyFill="1" applyBorder="1" applyAlignment="1">
      <alignment horizontal="left" vertical="top" wrapText="1"/>
    </xf>
    <xf numFmtId="0" fontId="1" fillId="2" borderId="14" xfId="0" applyFont="1" applyFill="1" applyBorder="1" applyAlignment="1">
      <alignment wrapText="1"/>
    </xf>
    <xf numFmtId="0" fontId="1" fillId="2" borderId="14" xfId="0" applyFont="1" applyFill="1" applyBorder="1" applyAlignment="1">
      <alignment horizontal="center" wrapText="1"/>
    </xf>
    <xf numFmtId="0" fontId="1" fillId="2" borderId="14" xfId="0" applyFont="1" applyFill="1" applyBorder="1" applyAlignment="1">
      <alignment horizontal="center" vertical="top" wrapText="1"/>
    </xf>
    <xf numFmtId="14" fontId="1" fillId="2" borderId="14" xfId="0" applyNumberFormat="1" applyFont="1" applyFill="1" applyBorder="1" applyAlignment="1">
      <alignment horizontal="center" vertical="top" wrapText="1"/>
    </xf>
    <xf numFmtId="4" fontId="1" fillId="2" borderId="14" xfId="0" applyNumberFormat="1" applyFont="1" applyFill="1" applyBorder="1" applyAlignment="1">
      <alignment wrapText="1"/>
    </xf>
    <xf numFmtId="0" fontId="1" fillId="2" borderId="14" xfId="0" applyFont="1" applyFill="1" applyBorder="1" applyAlignment="1">
      <alignment vertical="center" wrapText="1"/>
    </xf>
    <xf numFmtId="4" fontId="1" fillId="2" borderId="14" xfId="0" applyNumberFormat="1" applyFont="1" applyFill="1" applyBorder="1" applyAlignment="1">
      <alignment vertical="center" wrapText="1"/>
    </xf>
    <xf numFmtId="0" fontId="1" fillId="2" borderId="15" xfId="0" applyFont="1" applyFill="1" applyBorder="1" applyAlignment="1">
      <alignment horizontal="center" wrapText="1"/>
    </xf>
    <xf numFmtId="0" fontId="1" fillId="2" borderId="14" xfId="0" applyFont="1" applyFill="1" applyBorder="1" applyAlignment="1">
      <alignment vertical="center"/>
    </xf>
    <xf numFmtId="0" fontId="1" fillId="2" borderId="14" xfId="0" applyNumberFormat="1" applyFont="1" applyFill="1" applyBorder="1" applyAlignment="1">
      <alignment wrapText="1"/>
    </xf>
    <xf numFmtId="0" fontId="1" fillId="2" borderId="16" xfId="0" applyFont="1" applyFill="1" applyBorder="1" applyAlignment="1">
      <alignment horizontal="center" wrapText="1"/>
    </xf>
    <xf numFmtId="0" fontId="1" fillId="2" borderId="7" xfId="0" applyFont="1" applyFill="1" applyBorder="1"/>
    <xf numFmtId="0" fontId="2" fillId="2" borderId="16" xfId="0" applyFont="1" applyFill="1" applyBorder="1" applyAlignment="1">
      <alignment horizontal="justify" vertical="top" wrapText="1"/>
    </xf>
    <xf numFmtId="0" fontId="2" fillId="2" borderId="16" xfId="0" applyFont="1" applyFill="1" applyBorder="1" applyAlignment="1">
      <alignment horizontal="center" wrapText="1"/>
    </xf>
    <xf numFmtId="0" fontId="2" fillId="2" borderId="7" xfId="0" applyFont="1" applyFill="1" applyBorder="1" applyAlignment="1"/>
    <xf numFmtId="0" fontId="2" fillId="2" borderId="7" xfId="0" applyFont="1" applyFill="1" applyBorder="1"/>
    <xf numFmtId="0" fontId="1" fillId="2" borderId="14" xfId="0" applyFont="1" applyFill="1" applyBorder="1" applyAlignment="1">
      <alignment horizontal="justify" vertical="top" wrapText="1"/>
    </xf>
    <xf numFmtId="0" fontId="1" fillId="2" borderId="0" xfId="0" applyFont="1" applyFill="1" applyBorder="1" applyAlignment="1">
      <alignment horizontal="center" wrapText="1"/>
    </xf>
    <xf numFmtId="0" fontId="1" fillId="2" borderId="10" xfId="0" applyFont="1" applyFill="1" applyBorder="1"/>
    <xf numFmtId="0" fontId="1" fillId="2" borderId="13" xfId="0" applyFont="1" applyFill="1" applyBorder="1"/>
    <xf numFmtId="0" fontId="2" fillId="2" borderId="14" xfId="0" applyFont="1" applyFill="1" applyBorder="1" applyAlignment="1">
      <alignment horizontal="center" wrapText="1"/>
    </xf>
    <xf numFmtId="0" fontId="1" fillId="2" borderId="14" xfId="0" applyFont="1" applyFill="1" applyBorder="1" applyAlignment="1">
      <alignment vertical="top" wrapText="1"/>
    </xf>
    <xf numFmtId="14" fontId="1" fillId="2" borderId="14" xfId="0" applyNumberFormat="1" applyFont="1" applyFill="1" applyBorder="1" applyAlignment="1">
      <alignment wrapText="1"/>
    </xf>
    <xf numFmtId="49" fontId="1" fillId="2" borderId="14" xfId="0" applyNumberFormat="1" applyFont="1" applyFill="1" applyBorder="1" applyAlignment="1">
      <alignment wrapText="1"/>
    </xf>
    <xf numFmtId="0" fontId="2" fillId="2" borderId="13" xfId="0" applyFont="1" applyFill="1" applyBorder="1" applyAlignment="1"/>
    <xf numFmtId="0" fontId="2" fillId="2" borderId="13" xfId="0" applyFont="1" applyFill="1" applyBorder="1"/>
    <xf numFmtId="0" fontId="2" fillId="2" borderId="13" xfId="0" applyFont="1" applyFill="1" applyBorder="1" applyAlignment="1">
      <alignment horizontal="center" vertical="top" wrapText="1"/>
    </xf>
    <xf numFmtId="14" fontId="1" fillId="2" borderId="14" xfId="0" applyNumberFormat="1" applyFont="1" applyFill="1" applyBorder="1" applyAlignment="1">
      <alignment horizontal="left" vertical="top" wrapText="1"/>
    </xf>
    <xf numFmtId="0" fontId="1" fillId="2" borderId="13" xfId="0" applyFont="1" applyFill="1" applyBorder="1" applyAlignment="1">
      <alignment vertical="top" wrapText="1"/>
    </xf>
    <xf numFmtId="0" fontId="1" fillId="2" borderId="15" xfId="0" applyFont="1" applyFill="1" applyBorder="1" applyAlignment="1">
      <alignment horizontal="justify" wrapText="1"/>
    </xf>
    <xf numFmtId="0" fontId="1" fillId="2" borderId="11" xfId="0" applyFont="1" applyFill="1" applyBorder="1" applyAlignment="1">
      <alignment horizontal="center" vertical="center"/>
    </xf>
    <xf numFmtId="0" fontId="1" fillId="2" borderId="0" xfId="0" applyFont="1" applyFill="1" applyAlignment="1">
      <alignment wrapText="1"/>
    </xf>
    <xf numFmtId="0" fontId="1" fillId="2" borderId="6" xfId="0" applyFont="1" applyFill="1" applyBorder="1" applyAlignment="1">
      <alignment wrapText="1"/>
    </xf>
    <xf numFmtId="0" fontId="1" fillId="2" borderId="7" xfId="0" applyFont="1" applyFill="1" applyBorder="1" applyAlignment="1">
      <alignment horizontal="justify" vertical="top" wrapText="1"/>
    </xf>
    <xf numFmtId="0" fontId="1" fillId="2" borderId="6" xfId="0" applyFont="1" applyFill="1" applyBorder="1" applyAlignment="1"/>
    <xf numFmtId="0" fontId="2" fillId="2" borderId="14" xfId="0" applyFont="1" applyFill="1" applyBorder="1" applyAlignment="1">
      <alignment horizontal="justify" vertical="top" wrapText="1"/>
    </xf>
    <xf numFmtId="0" fontId="2" fillId="2" borderId="6" xfId="0" applyFont="1" applyFill="1" applyBorder="1" applyAlignment="1"/>
    <xf numFmtId="0" fontId="1" fillId="2" borderId="4" xfId="0" applyFont="1" applyFill="1" applyBorder="1" applyAlignment="1">
      <alignment horizontal="center" wrapText="1"/>
    </xf>
    <xf numFmtId="0" fontId="1" fillId="2" borderId="14" xfId="1" applyFont="1" applyFill="1" applyBorder="1" applyAlignment="1">
      <alignment horizontal="center" vertical="top" wrapText="1"/>
    </xf>
    <xf numFmtId="0" fontId="1" fillId="2" borderId="14" xfId="0" applyNumberFormat="1" applyFont="1" applyFill="1" applyBorder="1" applyAlignment="1">
      <alignment horizontal="center" vertical="top" wrapText="1"/>
    </xf>
    <xf numFmtId="0" fontId="2" fillId="2" borderId="17" xfId="0" applyFont="1" applyFill="1" applyBorder="1" applyAlignment="1">
      <alignment horizontal="center" wrapText="1"/>
    </xf>
    <xf numFmtId="0" fontId="1" fillId="2" borderId="14" xfId="0" applyNumberFormat="1" applyFont="1" applyFill="1" applyBorder="1" applyAlignment="1" applyProtection="1">
      <alignment horizontal="center" vertical="top" wrapText="1"/>
    </xf>
    <xf numFmtId="2" fontId="1" fillId="2" borderId="14" xfId="2" applyNumberFormat="1" applyFont="1" applyFill="1" applyBorder="1" applyAlignment="1">
      <alignment horizontal="center" vertical="top" wrapText="1"/>
    </xf>
    <xf numFmtId="14" fontId="1" fillId="2" borderId="14" xfId="0" applyNumberFormat="1" applyFont="1" applyFill="1" applyBorder="1" applyAlignment="1">
      <alignment horizontal="center" vertical="center" wrapText="1"/>
    </xf>
    <xf numFmtId="0" fontId="1" fillId="2" borderId="0" xfId="0" applyNumberFormat="1" applyFont="1" applyFill="1" applyBorder="1" applyAlignment="1">
      <alignment horizontal="center" vertical="top" wrapText="1"/>
    </xf>
    <xf numFmtId="0" fontId="6" fillId="2" borderId="14" xfId="0" applyFont="1" applyFill="1" applyBorder="1" applyAlignment="1">
      <alignment horizontal="left" vertical="top" wrapText="1"/>
    </xf>
    <xf numFmtId="0" fontId="1" fillId="2" borderId="14" xfId="0" applyNumberFormat="1" applyFont="1" applyFill="1" applyBorder="1" applyAlignment="1">
      <alignment horizontal="center" vertical="center" wrapText="1"/>
    </xf>
    <xf numFmtId="0" fontId="1" fillId="2" borderId="0" xfId="0" applyFont="1" applyFill="1" applyAlignment="1">
      <alignment vertical="top" wrapText="1"/>
    </xf>
    <xf numFmtId="0" fontId="1" fillId="2" borderId="6" xfId="0" applyFont="1" applyFill="1" applyBorder="1" applyAlignment="1">
      <alignment horizontal="center" vertical="top" wrapText="1"/>
    </xf>
    <xf numFmtId="0" fontId="7" fillId="2" borderId="0" xfId="0" applyFont="1" applyFill="1" applyAlignment="1">
      <alignment horizontal="center" wrapText="1"/>
    </xf>
    <xf numFmtId="49" fontId="1" fillId="2" borderId="14" xfId="0" applyNumberFormat="1" applyFont="1" applyFill="1" applyBorder="1" applyAlignment="1">
      <alignment horizontal="center" vertical="top" wrapText="1"/>
    </xf>
    <xf numFmtId="0" fontId="2" fillId="2" borderId="14" xfId="0" applyFont="1" applyFill="1" applyBorder="1" applyAlignment="1">
      <alignment wrapText="1"/>
    </xf>
    <xf numFmtId="0" fontId="1" fillId="2" borderId="14" xfId="0" applyNumberFormat="1" applyFont="1" applyFill="1" applyBorder="1" applyAlignment="1">
      <alignment horizontal="left" vertical="top" wrapText="1"/>
    </xf>
    <xf numFmtId="164" fontId="1" fillId="2" borderId="14" xfId="0" applyNumberFormat="1" applyFont="1" applyFill="1" applyBorder="1" applyAlignment="1">
      <alignment horizontal="center" vertical="center" wrapText="1"/>
    </xf>
    <xf numFmtId="0" fontId="8" fillId="2" borderId="14" xfId="0" applyFont="1" applyFill="1" applyBorder="1" applyAlignment="1">
      <alignment horizontal="center" vertical="center" wrapText="1"/>
    </xf>
    <xf numFmtId="0" fontId="9" fillId="2" borderId="14" xfId="0" applyFont="1" applyFill="1" applyBorder="1" applyAlignment="1">
      <alignment horizontal="center" vertical="center" wrapText="1"/>
    </xf>
    <xf numFmtId="49" fontId="8" fillId="2" borderId="14" xfId="0" applyNumberFormat="1" applyFont="1" applyFill="1" applyBorder="1" applyAlignment="1">
      <alignment wrapText="1"/>
    </xf>
    <xf numFmtId="14" fontId="8" fillId="2" borderId="14" xfId="0" applyNumberFormat="1" applyFont="1" applyFill="1" applyBorder="1" applyAlignment="1">
      <alignment horizontal="center" vertical="center" wrapText="1"/>
    </xf>
    <xf numFmtId="0" fontId="2" fillId="2" borderId="14" xfId="0" applyFont="1" applyFill="1" applyBorder="1" applyAlignment="1">
      <alignment horizontal="center" vertical="top" wrapText="1"/>
    </xf>
    <xf numFmtId="0" fontId="1" fillId="2" borderId="12" xfId="0" applyFont="1" applyFill="1" applyBorder="1" applyAlignment="1">
      <alignment wrapText="1"/>
    </xf>
    <xf numFmtId="0" fontId="2" fillId="2" borderId="0" xfId="0" applyFont="1" applyFill="1" applyBorder="1" applyAlignment="1">
      <alignment horizontal="justify" vertical="top" wrapText="1"/>
    </xf>
    <xf numFmtId="0" fontId="2" fillId="2" borderId="0" xfId="0" applyFont="1" applyFill="1" applyBorder="1" applyAlignment="1">
      <alignment horizontal="center" wrapText="1"/>
    </xf>
    <xf numFmtId="0" fontId="1" fillId="2" borderId="0" xfId="0" applyFont="1" applyFill="1" applyBorder="1" applyAlignment="1">
      <alignment horizontal="justify" vertical="top" wrapText="1"/>
    </xf>
    <xf numFmtId="0" fontId="2" fillId="2" borderId="6" xfId="0" applyFont="1" applyFill="1" applyBorder="1" applyAlignment="1">
      <alignment horizontal="justify" vertical="top" wrapText="1"/>
    </xf>
    <xf numFmtId="0" fontId="2" fillId="2" borderId="13" xfId="0" applyFont="1" applyFill="1" applyBorder="1" applyAlignment="1">
      <alignment horizontal="center" vertical="center"/>
    </xf>
    <xf numFmtId="0" fontId="1" fillId="2" borderId="6" xfId="0" applyFont="1" applyFill="1" applyBorder="1" applyAlignment="1">
      <alignment horizontal="justify" wrapText="1"/>
    </xf>
    <xf numFmtId="0" fontId="1" fillId="2" borderId="4" xfId="0" applyFont="1" applyFill="1" applyBorder="1" applyAlignment="1">
      <alignment horizontal="center" vertical="center"/>
    </xf>
    <xf numFmtId="14" fontId="1" fillId="2" borderId="14" xfId="0" applyNumberFormat="1" applyFont="1" applyFill="1" applyBorder="1" applyAlignment="1">
      <alignment horizontal="center" vertical="center"/>
    </xf>
    <xf numFmtId="0" fontId="1" fillId="2" borderId="0" xfId="0" applyFont="1" applyFill="1" applyBorder="1" applyAlignment="1">
      <alignment horizontal="justify" wrapText="1"/>
    </xf>
    <xf numFmtId="0" fontId="1" fillId="2" borderId="14" xfId="0" applyFont="1" applyFill="1" applyBorder="1" applyAlignment="1">
      <alignment horizontal="justify" wrapText="1"/>
    </xf>
    <xf numFmtId="0" fontId="9" fillId="2" borderId="14" xfId="0" applyFont="1" applyFill="1" applyBorder="1" applyAlignment="1">
      <alignment horizontal="left" vertical="top" wrapText="1"/>
    </xf>
    <xf numFmtId="0" fontId="1" fillId="2" borderId="13" xfId="0" applyFont="1" applyFill="1" applyBorder="1" applyAlignment="1">
      <alignment vertical="center" wrapText="1"/>
    </xf>
    <xf numFmtId="0" fontId="2" fillId="2" borderId="13" xfId="0" applyFont="1" applyFill="1" applyBorder="1" applyAlignment="1">
      <alignment horizontal="justify" vertical="top" wrapText="1"/>
    </xf>
    <xf numFmtId="0" fontId="2" fillId="2" borderId="1" xfId="0" applyFont="1" applyFill="1" applyBorder="1" applyAlignment="1">
      <alignment horizontal="center" vertical="center"/>
    </xf>
    <xf numFmtId="0" fontId="2" fillId="2" borderId="13" xfId="0" applyFont="1" applyFill="1" applyBorder="1" applyAlignment="1">
      <alignment horizontal="distributed" vertical="center"/>
    </xf>
    <xf numFmtId="0" fontId="2" fillId="2" borderId="13" xfId="0" applyFont="1" applyFill="1" applyBorder="1" applyAlignment="1">
      <alignment vertical="center" wrapText="1"/>
    </xf>
    <xf numFmtId="0" fontId="1" fillId="2" borderId="5" xfId="0" applyFont="1" applyFill="1" applyBorder="1" applyAlignment="1">
      <alignment horizontal="center" vertical="center"/>
    </xf>
    <xf numFmtId="0" fontId="1" fillId="2" borderId="17" xfId="0" applyFont="1" applyFill="1" applyBorder="1" applyAlignment="1">
      <alignment horizontal="justify" wrapText="1"/>
    </xf>
    <xf numFmtId="0" fontId="1" fillId="2" borderId="14" xfId="0" applyFont="1" applyFill="1" applyBorder="1" applyAlignment="1">
      <alignment horizontal="distributed" vertical="center"/>
    </xf>
    <xf numFmtId="0" fontId="1" fillId="2" borderId="10" xfId="0" applyFont="1" applyFill="1" applyBorder="1" applyAlignment="1">
      <alignment vertical="center"/>
    </xf>
    <xf numFmtId="0" fontId="1" fillId="2" borderId="7" xfId="0" applyNumberFormat="1" applyFont="1" applyFill="1" applyBorder="1" applyAlignment="1">
      <alignment vertical="center" wrapText="1"/>
    </xf>
    <xf numFmtId="14" fontId="1" fillId="2" borderId="10" xfId="0" applyNumberFormat="1" applyFont="1" applyFill="1" applyBorder="1" applyAlignment="1">
      <alignment vertical="center" wrapText="1"/>
    </xf>
    <xf numFmtId="0" fontId="1" fillId="2" borderId="12" xfId="0" applyFont="1" applyFill="1" applyBorder="1" applyAlignment="1">
      <alignment vertical="center" wrapText="1"/>
    </xf>
    <xf numFmtId="0" fontId="2" fillId="2" borderId="13" xfId="0" applyFont="1" applyFill="1" applyBorder="1" applyAlignment="1">
      <alignment vertical="center"/>
    </xf>
    <xf numFmtId="0" fontId="2" fillId="2" borderId="13" xfId="0" applyFont="1" applyFill="1" applyBorder="1" applyAlignment="1">
      <alignment horizontal="center" vertical="center" wrapText="1"/>
    </xf>
    <xf numFmtId="0" fontId="2" fillId="2" borderId="12" xfId="0" applyFont="1" applyFill="1" applyBorder="1" applyAlignment="1">
      <alignment vertical="center" wrapText="1"/>
    </xf>
    <xf numFmtId="0" fontId="2" fillId="2" borderId="0" xfId="0" applyFont="1" applyFill="1" applyBorder="1" applyAlignment="1">
      <alignment horizontal="center" vertical="center"/>
    </xf>
    <xf numFmtId="0" fontId="1" fillId="2" borderId="13" xfId="0" applyFont="1" applyFill="1" applyBorder="1" applyAlignment="1">
      <alignment horizontal="justify" vertical="top" wrapText="1"/>
    </xf>
    <xf numFmtId="0" fontId="1" fillId="2" borderId="14" xfId="0" applyFont="1" applyFill="1" applyBorder="1" applyAlignment="1">
      <alignment vertical="justify" wrapText="1"/>
    </xf>
    <xf numFmtId="0" fontId="1" fillId="2" borderId="0" xfId="3" applyFont="1" applyFill="1" applyBorder="1" applyAlignment="1">
      <alignment horizontal="center" vertical="top" wrapText="1"/>
    </xf>
    <xf numFmtId="0" fontId="2" fillId="2" borderId="14" xfId="0" applyFont="1" applyFill="1" applyBorder="1" applyAlignment="1">
      <alignment vertical="top" wrapText="1"/>
    </xf>
    <xf numFmtId="0" fontId="2" fillId="2" borderId="4" xfId="0" applyFont="1" applyFill="1" applyBorder="1" applyAlignment="1">
      <alignment horizontal="center" vertical="center"/>
    </xf>
    <xf numFmtId="0" fontId="2" fillId="2" borderId="6" xfId="0" applyFont="1" applyFill="1" applyBorder="1"/>
    <xf numFmtId="0" fontId="1" fillId="2" borderId="0" xfId="0" applyFont="1" applyFill="1" applyBorder="1" applyAlignment="1">
      <alignment vertical="top" wrapText="1"/>
    </xf>
    <xf numFmtId="0" fontId="2" fillId="2" borderId="0" xfId="0" applyFont="1" applyFill="1" applyBorder="1" applyAlignment="1">
      <alignment vertical="top" wrapText="1"/>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6" xfId="0" applyFont="1" applyFill="1" applyBorder="1" applyAlignment="1">
      <alignment wrapText="1"/>
    </xf>
    <xf numFmtId="0" fontId="2" fillId="2" borderId="12" xfId="0" applyFont="1" applyFill="1" applyBorder="1" applyAlignment="1">
      <alignment horizontal="justify" vertical="top" wrapText="1"/>
    </xf>
    <xf numFmtId="0" fontId="2" fillId="2" borderId="6"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6" xfId="0" applyFont="1" applyFill="1" applyBorder="1"/>
    <xf numFmtId="0" fontId="2" fillId="2" borderId="2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xf numFmtId="164" fontId="1" fillId="2" borderId="14" xfId="0" applyNumberFormat="1" applyFont="1" applyFill="1" applyBorder="1" applyAlignment="1">
      <alignment horizontal="center" vertical="top" wrapText="1"/>
    </xf>
    <xf numFmtId="0" fontId="1"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1" fillId="2" borderId="12" xfId="0" applyFont="1" applyFill="1" applyBorder="1" applyAlignment="1">
      <alignment horizontal="justify" wrapText="1"/>
    </xf>
    <xf numFmtId="0" fontId="1" fillId="2" borderId="11" xfId="0" applyFont="1" applyFill="1" applyBorder="1" applyAlignment="1">
      <alignment vertical="top" wrapText="1"/>
    </xf>
    <xf numFmtId="0" fontId="1" fillId="2" borderId="12" xfId="0" applyFont="1" applyFill="1" applyBorder="1" applyAlignment="1">
      <alignment horizontal="center" vertical="center"/>
    </xf>
    <xf numFmtId="0" fontId="1" fillId="2" borderId="8" xfId="0" applyFont="1" applyFill="1" applyBorder="1" applyAlignment="1">
      <alignment horizontal="justify" wrapText="1"/>
    </xf>
    <xf numFmtId="0" fontId="1" fillId="2" borderId="3" xfId="0" applyFont="1" applyFill="1" applyBorder="1" applyAlignment="1">
      <alignment horizontal="center" vertical="center"/>
    </xf>
    <xf numFmtId="0" fontId="1" fillId="2" borderId="6" xfId="0" applyFont="1" applyFill="1" applyBorder="1" applyAlignment="1">
      <alignment vertical="top" wrapText="1"/>
    </xf>
    <xf numFmtId="0" fontId="1" fillId="2" borderId="6" xfId="0" applyFont="1" applyFill="1" applyBorder="1" applyAlignment="1">
      <alignment horizontal="justify" vertical="top" wrapText="1"/>
    </xf>
    <xf numFmtId="0" fontId="1" fillId="2" borderId="12" xfId="0" applyFont="1" applyFill="1" applyBorder="1" applyAlignment="1">
      <alignment vertical="top" wrapText="1"/>
    </xf>
    <xf numFmtId="0" fontId="1" fillId="2" borderId="0" xfId="0" applyFont="1" applyFill="1" applyBorder="1" applyAlignment="1">
      <alignment horizontal="center" vertical="center"/>
    </xf>
    <xf numFmtId="0" fontId="1" fillId="2" borderId="14" xfId="2" applyFont="1" applyFill="1" applyBorder="1" applyAlignment="1">
      <alignment horizontal="center" vertical="top" wrapText="1"/>
    </xf>
    <xf numFmtId="0" fontId="1" fillId="2" borderId="9" xfId="0" applyFont="1" applyFill="1" applyBorder="1" applyAlignment="1">
      <alignment horizontal="center" vertical="center"/>
    </xf>
    <xf numFmtId="0" fontId="1" fillId="2" borderId="2" xfId="0" applyFont="1" applyFill="1" applyBorder="1" applyAlignment="1">
      <alignment wrapText="1"/>
    </xf>
    <xf numFmtId="0" fontId="1" fillId="2" borderId="6" xfId="0" applyFont="1" applyFill="1" applyBorder="1" applyAlignment="1">
      <alignment vertical="center" wrapText="1"/>
    </xf>
    <xf numFmtId="0" fontId="1" fillId="2" borderId="14" xfId="0" applyFont="1" applyFill="1" applyBorder="1" applyAlignment="1">
      <alignment wrapText="1" shrinkToFit="1"/>
    </xf>
    <xf numFmtId="0" fontId="1" fillId="2" borderId="14" xfId="0" applyFont="1" applyFill="1" applyBorder="1" applyAlignment="1">
      <alignment vertical="top" wrapText="1" shrinkToFit="1"/>
    </xf>
    <xf numFmtId="14" fontId="1" fillId="2" borderId="14" xfId="0" applyNumberFormat="1" applyFont="1" applyFill="1" applyBorder="1" applyAlignment="1">
      <alignment wrapText="1" shrinkToFit="1"/>
    </xf>
    <xf numFmtId="0" fontId="1" fillId="2" borderId="2" xfId="0" applyFont="1" applyFill="1" applyBorder="1" applyAlignment="1">
      <alignment horizontal="left" vertical="top" wrapText="1"/>
    </xf>
    <xf numFmtId="0" fontId="1" fillId="2" borderId="17" xfId="0" applyFont="1" applyFill="1" applyBorder="1" applyAlignment="1">
      <alignment horizontal="justify" vertical="top" wrapText="1"/>
    </xf>
    <xf numFmtId="0" fontId="2" fillId="2" borderId="3" xfId="0" applyFont="1" applyFill="1" applyBorder="1" applyAlignment="1">
      <alignment horizontal="center" wrapText="1"/>
    </xf>
    <xf numFmtId="0" fontId="1" fillId="2" borderId="11" xfId="0" applyFont="1" applyFill="1" applyBorder="1" applyAlignment="1">
      <alignment horizontal="center" wrapText="1"/>
    </xf>
    <xf numFmtId="0" fontId="2" fillId="2" borderId="11" xfId="0" applyFont="1" applyFill="1" applyBorder="1" applyAlignment="1">
      <alignment horizontal="center" wrapText="1"/>
    </xf>
    <xf numFmtId="0" fontId="2" fillId="2" borderId="12" xfId="0" applyFont="1" applyFill="1" applyBorder="1" applyAlignment="1">
      <alignment horizontal="justify" wrapText="1"/>
    </xf>
    <xf numFmtId="0" fontId="2" fillId="2" borderId="2" xfId="0" applyFont="1" applyFill="1" applyBorder="1" applyAlignment="1">
      <alignment horizontal="justify" wrapText="1"/>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2" fontId="2" fillId="2" borderId="7" xfId="0" applyNumberFormat="1" applyFont="1" applyFill="1" applyBorder="1"/>
    <xf numFmtId="0" fontId="2" fillId="2" borderId="21" xfId="0" applyFont="1" applyFill="1" applyBorder="1" applyAlignment="1">
      <alignment horizontal="justify" wrapText="1"/>
    </xf>
    <xf numFmtId="2" fontId="2" fillId="2" borderId="21" xfId="0" applyNumberFormat="1" applyFont="1" applyFill="1" applyBorder="1"/>
    <xf numFmtId="0" fontId="2" fillId="2" borderId="0" xfId="0" applyFont="1" applyFill="1" applyBorder="1" applyAlignment="1">
      <alignment horizontal="justify" wrapText="1"/>
    </xf>
    <xf numFmtId="2" fontId="2" fillId="2" borderId="0" xfId="0" applyNumberFormat="1" applyFont="1" applyFill="1" applyBorder="1"/>
    <xf numFmtId="2" fontId="1" fillId="2" borderId="0" xfId="0" applyNumberFormat="1" applyFont="1" applyFill="1" applyBorder="1"/>
    <xf numFmtId="0" fontId="1" fillId="2" borderId="0" xfId="0" applyFont="1" applyFill="1" applyBorder="1" applyAlignment="1"/>
    <xf numFmtId="0" fontId="1" fillId="2" borderId="0" xfId="0" applyFont="1" applyFill="1" applyBorder="1"/>
    <xf numFmtId="0" fontId="1" fillId="2" borderId="0" xfId="0" applyFont="1" applyFill="1" applyAlignment="1">
      <alignment horizontal="justify" wrapText="1"/>
    </xf>
    <xf numFmtId="0" fontId="1" fillId="2" borderId="0" xfId="0" applyFont="1" applyFill="1" applyBorder="1" applyAlignment="1">
      <alignment horizontal="justify"/>
    </xf>
    <xf numFmtId="0" fontId="11" fillId="2" borderId="0" xfId="0" applyFont="1" applyFill="1" applyBorder="1"/>
    <xf numFmtId="2" fontId="1" fillId="2" borderId="0" xfId="0" applyNumberFormat="1" applyFont="1" applyFill="1"/>
    <xf numFmtId="2" fontId="2" fillId="2" borderId="0" xfId="0" applyNumberFormat="1" applyFont="1" applyFill="1"/>
    <xf numFmtId="0" fontId="2" fillId="2" borderId="0" xfId="0" applyFont="1" applyFill="1" applyBorder="1"/>
    <xf numFmtId="0" fontId="3" fillId="0" borderId="0" xfId="0" applyFont="1" applyFill="1" applyAlignment="1">
      <alignment vertical="top" wrapText="1"/>
    </xf>
    <xf numFmtId="0" fontId="3" fillId="0" borderId="14" xfId="0" applyFont="1" applyFill="1" applyBorder="1" applyAlignment="1">
      <alignment vertical="top" wrapText="1"/>
    </xf>
    <xf numFmtId="14" fontId="3" fillId="0" borderId="14" xfId="0" applyNumberFormat="1" applyFont="1" applyFill="1" applyBorder="1" applyAlignment="1">
      <alignment vertical="top" wrapText="1"/>
    </xf>
    <xf numFmtId="14" fontId="1" fillId="2" borderId="6" xfId="0" applyNumberFormat="1" applyFont="1" applyFill="1" applyBorder="1" applyAlignment="1">
      <alignment horizontal="center" vertical="center" wrapText="1"/>
    </xf>
    <xf numFmtId="0" fontId="1" fillId="2" borderId="0" xfId="0" applyFont="1" applyFill="1" applyBorder="1" applyAlignment="1">
      <alignment wrapText="1"/>
    </xf>
    <xf numFmtId="49" fontId="1" fillId="2" borderId="8" xfId="0" applyNumberFormat="1" applyFont="1" applyFill="1" applyBorder="1" applyAlignment="1">
      <alignment horizontal="center" vertical="top" wrapText="1"/>
    </xf>
    <xf numFmtId="14" fontId="1" fillId="2" borderId="13" xfId="0" applyNumberFormat="1" applyFont="1" applyFill="1" applyBorder="1" applyAlignment="1">
      <alignment vertical="top" wrapText="1"/>
    </xf>
    <xf numFmtId="14" fontId="16" fillId="2" borderId="14" xfId="0" applyNumberFormat="1" applyFont="1" applyFill="1" applyBorder="1" applyAlignment="1">
      <alignment vertical="top" wrapText="1"/>
    </xf>
    <xf numFmtId="14" fontId="1" fillId="2" borderId="14" xfId="0" applyNumberFormat="1" applyFont="1" applyFill="1" applyBorder="1" applyAlignment="1">
      <alignment vertical="top" wrapText="1"/>
    </xf>
    <xf numFmtId="0" fontId="1" fillId="2" borderId="4" xfId="0" applyFont="1" applyFill="1" applyBorder="1" applyAlignment="1">
      <alignment horizontal="justify" vertical="top" wrapText="1"/>
    </xf>
    <xf numFmtId="0" fontId="1" fillId="2" borderId="0" xfId="0" applyFont="1" applyFill="1" applyAlignment="1">
      <alignment horizontal="left" vertical="top" wrapText="1"/>
    </xf>
    <xf numFmtId="14" fontId="1" fillId="2" borderId="7" xfId="0" applyNumberFormat="1" applyFont="1" applyFill="1" applyBorder="1" applyAlignment="1">
      <alignment vertical="center" wrapText="1"/>
    </xf>
    <xf numFmtId="0" fontId="1" fillId="2" borderId="14" xfId="0" applyFont="1" applyFill="1" applyBorder="1" applyAlignment="1">
      <alignment vertical="top"/>
    </xf>
    <xf numFmtId="14" fontId="1" fillId="2" borderId="13" xfId="0" applyNumberFormat="1" applyFont="1" applyFill="1" applyBorder="1" applyAlignment="1">
      <alignment wrapText="1"/>
    </xf>
    <xf numFmtId="0" fontId="12" fillId="2" borderId="0" xfId="0" applyFont="1" applyFill="1" applyBorder="1" applyAlignment="1">
      <alignment wrapText="1"/>
    </xf>
    <xf numFmtId="0" fontId="13" fillId="2" borderId="0" xfId="0" applyFont="1" applyFill="1" applyBorder="1" applyAlignment="1">
      <alignment wrapText="1"/>
    </xf>
    <xf numFmtId="0" fontId="1" fillId="2" borderId="7"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0" xfId="0" applyFont="1" applyFill="1" applyBorder="1" applyAlignment="1"/>
    <xf numFmtId="0" fontId="1" fillId="2" borderId="2" xfId="0"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49" fontId="1" fillId="2" borderId="13" xfId="0" applyNumberFormat="1" applyFont="1" applyFill="1" applyBorder="1" applyAlignment="1">
      <alignment horizontal="center" vertical="top" wrapText="1"/>
    </xf>
    <xf numFmtId="0" fontId="1" fillId="2" borderId="18" xfId="0" applyFont="1" applyFill="1" applyBorder="1" applyAlignment="1">
      <alignment horizontal="center" wrapText="1"/>
    </xf>
    <xf numFmtId="0" fontId="1" fillId="2" borderId="19" xfId="0" applyFont="1" applyFill="1" applyBorder="1" applyAlignment="1">
      <alignment horizontal="center" wrapText="1"/>
    </xf>
    <xf numFmtId="0" fontId="1" fillId="2" borderId="7" xfId="0" applyFont="1" applyFill="1" applyBorder="1" applyAlignment="1">
      <alignment horizontal="center" wrapText="1"/>
    </xf>
    <xf numFmtId="0" fontId="1" fillId="2" borderId="10" xfId="0" applyFont="1" applyFill="1" applyBorder="1" applyAlignment="1">
      <alignment horizontal="center" wrapText="1"/>
    </xf>
    <xf numFmtId="0" fontId="1" fillId="2" borderId="13" xfId="0" applyFont="1" applyFill="1" applyBorder="1" applyAlignment="1">
      <alignment horizont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3" xfId="0" applyFont="1" applyFill="1" applyBorder="1" applyAlignment="1">
      <alignment horizontal="center" vertical="center"/>
    </xf>
    <xf numFmtId="14" fontId="1" fillId="2" borderId="10" xfId="0" applyNumberFormat="1" applyFont="1" applyFill="1" applyBorder="1" applyAlignment="1">
      <alignment horizontal="center" vertical="center" wrapText="1"/>
    </xf>
    <xf numFmtId="0" fontId="1" fillId="2" borderId="7" xfId="0" applyFont="1" applyFill="1" applyBorder="1" applyAlignment="1">
      <alignment horizontal="center" vertical="top" wrapText="1"/>
    </xf>
    <xf numFmtId="0" fontId="1" fillId="2" borderId="10" xfId="0" applyFont="1" applyFill="1" applyBorder="1" applyAlignment="1">
      <alignment horizontal="center" vertical="top" wrapText="1"/>
    </xf>
    <xf numFmtId="0" fontId="1" fillId="2" borderId="13" xfId="0" applyFont="1" applyFill="1" applyBorder="1" applyAlignment="1">
      <alignment horizontal="center" vertical="top" wrapText="1"/>
    </xf>
    <xf numFmtId="14" fontId="1" fillId="2" borderId="7" xfId="0" applyNumberFormat="1" applyFont="1" applyFill="1" applyBorder="1" applyAlignment="1">
      <alignment horizontal="center" vertical="top"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7" xfId="0" applyNumberFormat="1" applyFont="1" applyFill="1" applyBorder="1" applyAlignment="1">
      <alignment horizontal="center" vertical="top" wrapText="1"/>
    </xf>
    <xf numFmtId="0" fontId="1" fillId="2" borderId="10" xfId="0" applyNumberFormat="1" applyFont="1" applyFill="1" applyBorder="1" applyAlignment="1">
      <alignment horizontal="center" vertical="top" wrapText="1"/>
    </xf>
    <xf numFmtId="0" fontId="1" fillId="2" borderId="7" xfId="0" applyFont="1" applyFill="1" applyBorder="1" applyAlignment="1">
      <alignment wrapText="1"/>
    </xf>
    <xf numFmtId="0" fontId="1" fillId="2" borderId="7" xfId="0" applyFont="1" applyFill="1" applyBorder="1" applyAlignment="1"/>
    <xf numFmtId="14" fontId="1" fillId="2" borderId="7" xfId="0" applyNumberFormat="1" applyFont="1" applyFill="1" applyBorder="1" applyAlignment="1">
      <alignment horizontal="left" vertical="top" wrapText="1"/>
    </xf>
    <xf numFmtId="0" fontId="1" fillId="2" borderId="10" xfId="0" applyFont="1" applyFill="1" applyBorder="1" applyAlignment="1">
      <alignment wrapText="1"/>
    </xf>
    <xf numFmtId="0" fontId="1" fillId="2" borderId="13" xfId="0" applyFont="1" applyFill="1" applyBorder="1" applyAlignment="1">
      <alignment wrapText="1"/>
    </xf>
    <xf numFmtId="0" fontId="1" fillId="2" borderId="13" xfId="0" applyFont="1" applyFill="1" applyBorder="1" applyAlignment="1">
      <alignment vertical="center"/>
    </xf>
    <xf numFmtId="0" fontId="1" fillId="2" borderId="7" xfId="0" applyFont="1" applyFill="1" applyBorder="1" applyAlignment="1">
      <alignment horizontal="left" vertical="top"/>
    </xf>
    <xf numFmtId="0" fontId="1" fillId="2" borderId="10" xfId="0" applyFont="1" applyFill="1" applyBorder="1" applyAlignment="1">
      <alignment horizontal="left" vertical="top"/>
    </xf>
    <xf numFmtId="0" fontId="1" fillId="2" borderId="7" xfId="0" applyFont="1" applyFill="1" applyBorder="1" applyAlignment="1">
      <alignment vertical="center"/>
    </xf>
    <xf numFmtId="0" fontId="1" fillId="2" borderId="18" xfId="0" applyFont="1" applyFill="1" applyBorder="1" applyAlignment="1">
      <alignment horizontal="justify" vertical="top"/>
    </xf>
    <xf numFmtId="0" fontId="1" fillId="2" borderId="7" xfId="0" applyFont="1" applyFill="1" applyBorder="1" applyAlignment="1">
      <alignment horizontal="justify" vertical="top"/>
    </xf>
    <xf numFmtId="14" fontId="1" fillId="2" borderId="7" xfId="0" applyNumberFormat="1" applyFont="1" applyFill="1" applyBorder="1" applyAlignment="1">
      <alignment horizontal="justify" vertical="top"/>
    </xf>
    <xf numFmtId="0" fontId="1" fillId="2" borderId="14" xfId="0" applyFont="1" applyFill="1" applyBorder="1" applyAlignment="1">
      <alignment horizontal="center" vertical="center" wrapText="1"/>
    </xf>
    <xf numFmtId="0" fontId="1" fillId="2" borderId="7" xfId="0" applyNumberFormat="1" applyFont="1" applyFill="1" applyBorder="1" applyAlignment="1">
      <alignment horizontal="center" vertical="center" wrapText="1"/>
    </xf>
    <xf numFmtId="0" fontId="1" fillId="2" borderId="13" xfId="0" applyNumberFormat="1" applyFont="1" applyFill="1" applyBorder="1" applyAlignment="1">
      <alignment horizontal="center" vertical="center" wrapText="1"/>
    </xf>
    <xf numFmtId="0" fontId="1" fillId="2" borderId="10" xfId="0" applyFont="1" applyFill="1" applyBorder="1" applyAlignment="1">
      <alignment vertical="center" wrapText="1"/>
    </xf>
    <xf numFmtId="0" fontId="1" fillId="2" borderId="7" xfId="0" applyFont="1" applyFill="1" applyBorder="1" applyAlignment="1">
      <alignment vertical="top" wrapText="1"/>
    </xf>
    <xf numFmtId="0" fontId="1" fillId="2" borderId="0" xfId="0" applyFont="1" applyFill="1" applyBorder="1" applyAlignment="1">
      <alignment vertical="center"/>
    </xf>
    <xf numFmtId="0" fontId="1" fillId="2" borderId="8" xfId="0" applyFont="1" applyFill="1" applyBorder="1" applyAlignment="1">
      <alignment vertical="center" wrapText="1"/>
    </xf>
    <xf numFmtId="0" fontId="1" fillId="2" borderId="7" xfId="0" applyFont="1" applyFill="1" applyBorder="1" applyAlignment="1">
      <alignment horizontal="distributed" vertical="center"/>
    </xf>
    <xf numFmtId="0" fontId="1" fillId="2" borderId="10" xfId="0" applyFont="1" applyFill="1" applyBorder="1" applyAlignment="1">
      <alignment horizontal="distributed" vertical="center"/>
    </xf>
    <xf numFmtId="0" fontId="1" fillId="2" borderId="13" xfId="0" applyFont="1" applyFill="1" applyBorder="1" applyAlignment="1">
      <alignment horizontal="distributed" vertical="center"/>
    </xf>
    <xf numFmtId="0" fontId="1" fillId="2" borderId="10" xfId="0" applyFont="1" applyFill="1" applyBorder="1" applyAlignment="1">
      <alignment vertical="top" wrapText="1"/>
    </xf>
    <xf numFmtId="0" fontId="1" fillId="2" borderId="10" xfId="0" applyFont="1" applyFill="1" applyBorder="1" applyAlignment="1"/>
    <xf numFmtId="0" fontId="1" fillId="2" borderId="13" xfId="0" applyFont="1" applyFill="1" applyBorder="1" applyAlignment="1"/>
    <xf numFmtId="0" fontId="1" fillId="2" borderId="7" xfId="0" applyFont="1" applyFill="1" applyBorder="1" applyAlignment="1">
      <alignment vertical="center" wrapText="1"/>
    </xf>
    <xf numFmtId="49" fontId="1" fillId="2" borderId="10" xfId="0" applyNumberFormat="1" applyFont="1" applyFill="1" applyBorder="1" applyAlignment="1">
      <alignment horizontal="center" vertical="top" wrapText="1"/>
    </xf>
    <xf numFmtId="0" fontId="1" fillId="2" borderId="13" xfId="0" applyFont="1" applyFill="1" applyBorder="1" applyAlignment="1">
      <alignment horizontal="left" vertical="top" wrapText="1"/>
    </xf>
    <xf numFmtId="0" fontId="1" fillId="2" borderId="7" xfId="0" applyFont="1" applyFill="1" applyBorder="1" applyAlignment="1">
      <alignment vertical="top" wrapText="1"/>
    </xf>
    <xf numFmtId="0" fontId="1" fillId="2" borderId="7" xfId="0" applyFont="1" applyFill="1" applyBorder="1" applyAlignment="1">
      <alignment horizontal="center" vertical="top" wrapText="1"/>
    </xf>
    <xf numFmtId="0" fontId="1" fillId="2" borderId="13" xfId="0" applyFont="1" applyFill="1" applyBorder="1" applyAlignment="1">
      <alignment horizontal="center" vertical="top" wrapText="1"/>
    </xf>
    <xf numFmtId="0" fontId="1" fillId="2" borderId="13" xfId="0" applyFont="1" applyFill="1" applyBorder="1" applyAlignment="1">
      <alignment horizontal="left" vertical="top"/>
    </xf>
    <xf numFmtId="0" fontId="2" fillId="2" borderId="13" xfId="0" applyFont="1" applyFill="1" applyBorder="1" applyAlignment="1">
      <alignment horizontal="center" wrapText="1"/>
    </xf>
    <xf numFmtId="0" fontId="17" fillId="2" borderId="0" xfId="0" applyFont="1" applyFill="1"/>
    <xf numFmtId="0" fontId="17" fillId="2" borderId="5" xfId="0" applyFont="1" applyFill="1" applyBorder="1"/>
    <xf numFmtId="0" fontId="17" fillId="2" borderId="6" xfId="0" applyFont="1" applyFill="1" applyBorder="1"/>
    <xf numFmtId="0" fontId="15" fillId="2" borderId="14" xfId="0" applyFont="1" applyFill="1" applyBorder="1"/>
    <xf numFmtId="0" fontId="15" fillId="2" borderId="14" xfId="0" applyFont="1" applyFill="1" applyBorder="1" applyAlignment="1">
      <alignment horizontal="center" vertical="top"/>
    </xf>
    <xf numFmtId="0" fontId="15" fillId="2" borderId="14" xfId="0" applyFont="1" applyFill="1" applyBorder="1" applyAlignment="1"/>
    <xf numFmtId="2" fontId="1" fillId="2" borderId="14" xfId="0" applyNumberFormat="1" applyFont="1" applyFill="1" applyBorder="1"/>
    <xf numFmtId="0" fontId="15" fillId="2" borderId="0" xfId="0" applyFont="1" applyFill="1"/>
    <xf numFmtId="0" fontId="17" fillId="2" borderId="14" xfId="0" applyFont="1" applyFill="1" applyBorder="1" applyAlignment="1">
      <alignment horizontal="center" vertical="top" wrapText="1"/>
    </xf>
    <xf numFmtId="0" fontId="17" fillId="2" borderId="14" xfId="0" applyFont="1" applyFill="1" applyBorder="1" applyAlignment="1"/>
    <xf numFmtId="0" fontId="15" fillId="2" borderId="14" xfId="0" applyFont="1" applyFill="1" applyBorder="1" applyAlignment="1">
      <alignment vertical="top"/>
    </xf>
    <xf numFmtId="0" fontId="6" fillId="2" borderId="13" xfId="0" applyFont="1" applyFill="1" applyBorder="1" applyAlignment="1">
      <alignment vertical="top" wrapText="1"/>
    </xf>
    <xf numFmtId="0" fontId="6" fillId="2" borderId="13" xfId="0" applyFont="1" applyFill="1" applyBorder="1" applyAlignment="1"/>
    <xf numFmtId="0" fontId="6" fillId="2" borderId="13" xfId="0" applyFont="1" applyFill="1" applyBorder="1" applyAlignment="1">
      <alignment wrapText="1"/>
    </xf>
    <xf numFmtId="14" fontId="1" fillId="2" borderId="0" xfId="0" applyNumberFormat="1" applyFont="1" applyFill="1" applyAlignment="1">
      <alignment wrapText="1"/>
    </xf>
    <xf numFmtId="14" fontId="1" fillId="2" borderId="0" xfId="0" applyNumberFormat="1" applyFont="1" applyFill="1" applyAlignment="1">
      <alignment vertical="top" wrapText="1"/>
    </xf>
    <xf numFmtId="0" fontId="15" fillId="2" borderId="14" xfId="0" applyFont="1" applyFill="1" applyBorder="1" applyAlignment="1">
      <alignment vertical="top" wrapText="1"/>
    </xf>
    <xf numFmtId="0" fontId="15" fillId="2" borderId="14" xfId="0" applyFont="1" applyFill="1" applyBorder="1" applyAlignment="1">
      <alignment wrapText="1"/>
    </xf>
    <xf numFmtId="0" fontId="15" fillId="2" borderId="14" xfId="0" applyFont="1" applyFill="1" applyBorder="1" applyAlignment="1">
      <alignment vertical="center"/>
    </xf>
    <xf numFmtId="0" fontId="15" fillId="2" borderId="14" xfId="0" applyFont="1" applyFill="1" applyBorder="1" applyAlignment="1">
      <alignment horizontal="distributed" vertical="center"/>
    </xf>
    <xf numFmtId="0" fontId="17" fillId="2" borderId="14" xfId="0" applyFont="1" applyFill="1" applyBorder="1" applyAlignment="1">
      <alignment horizontal="center" vertical="center" wrapText="1"/>
    </xf>
    <xf numFmtId="14" fontId="1" fillId="2" borderId="6" xfId="0" applyNumberFormat="1" applyFont="1" applyFill="1" applyBorder="1" applyAlignment="1">
      <alignment horizontal="center" vertical="center"/>
    </xf>
    <xf numFmtId="0" fontId="15" fillId="2" borderId="10" xfId="0" applyFont="1" applyFill="1" applyBorder="1" applyAlignment="1"/>
    <xf numFmtId="0" fontId="15" fillId="2" borderId="13" xfId="0" applyFont="1" applyFill="1" applyBorder="1" applyAlignment="1"/>
    <xf numFmtId="0" fontId="13" fillId="2" borderId="14" xfId="0" applyFont="1" applyFill="1" applyBorder="1" applyAlignment="1">
      <alignment horizontal="center" vertical="center"/>
    </xf>
    <xf numFmtId="14" fontId="13" fillId="2" borderId="14" xfId="0" applyNumberFormat="1" applyFont="1" applyFill="1" applyBorder="1" applyAlignment="1">
      <alignment horizontal="center" vertical="center"/>
    </xf>
    <xf numFmtId="0" fontId="1" fillId="2" borderId="14" xfId="0" applyFont="1" applyFill="1" applyBorder="1" applyAlignment="1">
      <alignment horizontal="center" vertical="top" wrapText="1"/>
    </xf>
    <xf numFmtId="0" fontId="15" fillId="2" borderId="10" xfId="0" applyFont="1" applyFill="1" applyBorder="1" applyAlignment="1">
      <alignment horizontal="center" vertical="center" wrapText="1"/>
    </xf>
    <xf numFmtId="0" fontId="15" fillId="2" borderId="10" xfId="0" applyFont="1" applyFill="1" applyBorder="1" applyAlignment="1">
      <alignment horizontal="center" vertical="center"/>
    </xf>
    <xf numFmtId="0" fontId="2" fillId="2" borderId="20" xfId="0" applyFont="1" applyFill="1" applyBorder="1" applyAlignment="1">
      <alignment vertical="top" wrapText="1" readingOrder="1"/>
    </xf>
    <xf numFmtId="0" fontId="15" fillId="2" borderId="13" xfId="0" applyFont="1" applyFill="1" applyBorder="1" applyAlignment="1">
      <alignment vertical="top" wrapText="1"/>
    </xf>
    <xf numFmtId="0" fontId="15" fillId="2" borderId="0" xfId="0" applyFont="1" applyFill="1" applyBorder="1"/>
    <xf numFmtId="49" fontId="2" fillId="2" borderId="2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12"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7" fillId="2" borderId="9" xfId="0" applyFont="1" applyFill="1" applyBorder="1" applyAlignment="1">
      <alignment horizontal="center" vertical="center"/>
    </xf>
    <xf numFmtId="0" fontId="17" fillId="2" borderId="11" xfId="0" applyFont="1" applyFill="1" applyBorder="1" applyAlignment="1">
      <alignment horizontal="center" vertical="center"/>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1" fillId="2" borderId="7" xfId="0" applyFont="1" applyFill="1" applyBorder="1" applyAlignment="1">
      <alignment horizontal="center" vertical="top" wrapText="1"/>
    </xf>
    <xf numFmtId="0" fontId="1" fillId="2" borderId="10" xfId="0" applyFont="1" applyFill="1" applyBorder="1" applyAlignment="1">
      <alignment horizontal="center" vertical="top" wrapText="1"/>
    </xf>
    <xf numFmtId="0" fontId="17" fillId="2" borderId="10" xfId="0" applyFont="1" applyFill="1" applyBorder="1" applyAlignment="1">
      <alignment horizontal="center" wrapText="1"/>
    </xf>
    <xf numFmtId="0" fontId="17" fillId="2" borderId="13" xfId="0" applyFont="1" applyFill="1" applyBorder="1" applyAlignment="1">
      <alignment horizontal="center" wrapText="1"/>
    </xf>
    <xf numFmtId="0" fontId="17" fillId="2" borderId="10" xfId="0" applyFont="1" applyFill="1" applyBorder="1" applyAlignment="1">
      <alignment horizontal="center" vertical="top" wrapText="1"/>
    </xf>
    <xf numFmtId="0" fontId="17" fillId="2" borderId="13" xfId="0" applyFont="1" applyFill="1" applyBorder="1" applyAlignment="1">
      <alignment horizontal="center" vertical="top" wrapText="1"/>
    </xf>
    <xf numFmtId="14" fontId="1" fillId="2" borderId="7" xfId="0" applyNumberFormat="1" applyFont="1" applyFill="1" applyBorder="1" applyAlignment="1">
      <alignment horizontal="center" vertical="top" wrapText="1"/>
    </xf>
    <xf numFmtId="14" fontId="1" fillId="2" borderId="10" xfId="0" applyNumberFormat="1" applyFont="1" applyFill="1" applyBorder="1" applyAlignment="1">
      <alignment horizontal="center" vertical="top" wrapText="1"/>
    </xf>
    <xf numFmtId="49" fontId="1" fillId="2" borderId="7" xfId="0" applyNumberFormat="1"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 fillId="2" borderId="7" xfId="0" applyFont="1" applyFill="1" applyBorder="1" applyAlignment="1">
      <alignment horizontal="center" wrapText="1"/>
    </xf>
    <xf numFmtId="0" fontId="1" fillId="2" borderId="13" xfId="0" applyFont="1" applyFill="1" applyBorder="1" applyAlignment="1">
      <alignment horizontal="center" wrapText="1"/>
    </xf>
    <xf numFmtId="0" fontId="1" fillId="2" borderId="7" xfId="0" applyFont="1" applyFill="1" applyBorder="1" applyAlignment="1">
      <alignment vertical="top" wrapText="1"/>
    </xf>
    <xf numFmtId="0" fontId="17" fillId="2" borderId="10" xfId="0" applyFont="1" applyFill="1" applyBorder="1" applyAlignment="1">
      <alignment vertical="top" wrapText="1"/>
    </xf>
    <xf numFmtId="0" fontId="17" fillId="2" borderId="10" xfId="0" applyFont="1" applyFill="1" applyBorder="1" applyAlignment="1"/>
    <xf numFmtId="14" fontId="1" fillId="2" borderId="7" xfId="0" applyNumberFormat="1" applyFont="1" applyFill="1" applyBorder="1" applyAlignment="1">
      <alignment vertical="top" wrapText="1"/>
    </xf>
    <xf numFmtId="0" fontId="1" fillId="2" borderId="13" xfId="0" applyFont="1" applyFill="1" applyBorder="1" applyAlignment="1">
      <alignment horizontal="center" vertical="top" wrapText="1"/>
    </xf>
    <xf numFmtId="0" fontId="1" fillId="2" borderId="7" xfId="0" applyNumberFormat="1" applyFont="1" applyFill="1" applyBorder="1" applyAlignment="1">
      <alignment horizontal="center" vertical="top" wrapText="1"/>
    </xf>
    <xf numFmtId="0" fontId="1" fillId="2" borderId="10" xfId="0" applyNumberFormat="1" applyFont="1" applyFill="1" applyBorder="1" applyAlignment="1">
      <alignment horizontal="center" vertical="top" wrapText="1"/>
    </xf>
    <xf numFmtId="0" fontId="1" fillId="2" borderId="13" xfId="0" applyNumberFormat="1" applyFont="1" applyFill="1" applyBorder="1" applyAlignment="1">
      <alignment horizontal="center" vertical="top" wrapText="1"/>
    </xf>
    <xf numFmtId="0" fontId="17" fillId="2" borderId="13" xfId="0" applyFont="1" applyFill="1" applyBorder="1" applyAlignment="1"/>
    <xf numFmtId="0" fontId="1" fillId="2" borderId="10" xfId="0" applyFont="1" applyFill="1" applyBorder="1" applyAlignment="1">
      <alignment vertical="center" wrapTex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7" xfId="0" applyFont="1" applyFill="1" applyBorder="1" applyAlignment="1">
      <alignment vertical="center" wrapText="1"/>
    </xf>
    <xf numFmtId="0" fontId="1" fillId="2" borderId="13" xfId="0" applyFont="1" applyFill="1" applyBorder="1" applyAlignment="1">
      <alignment vertical="center" wrapText="1"/>
    </xf>
    <xf numFmtId="0" fontId="1" fillId="2" borderId="7" xfId="0" applyFont="1" applyFill="1" applyBorder="1" applyAlignment="1">
      <alignment horizontal="left" vertical="top" wrapText="1"/>
    </xf>
    <xf numFmtId="0" fontId="15" fillId="2" borderId="10" xfId="0" applyFont="1" applyFill="1" applyBorder="1" applyAlignment="1"/>
    <xf numFmtId="0" fontId="1" fillId="2" borderId="7" xfId="0" applyFont="1" applyFill="1" applyBorder="1" applyAlignment="1">
      <alignment horizontal="left" vertical="top"/>
    </xf>
    <xf numFmtId="0" fontId="1" fillId="2" borderId="14" xfId="0" applyFont="1" applyFill="1" applyBorder="1" applyAlignment="1">
      <alignment horizontal="center" vertical="top" wrapText="1"/>
    </xf>
    <xf numFmtId="14" fontId="1" fillId="2" borderId="14" xfId="0" applyNumberFormat="1" applyFont="1" applyFill="1" applyBorder="1" applyAlignment="1">
      <alignment horizontal="center" vertical="top" wrapText="1"/>
    </xf>
    <xf numFmtId="0" fontId="1" fillId="2" borderId="0" xfId="0" applyFont="1" applyFill="1" applyBorder="1" applyAlignment="1">
      <alignment horizontal="justify" vertical="center" wrapText="1"/>
    </xf>
    <xf numFmtId="0" fontId="2" fillId="2" borderId="1" xfId="0" applyFont="1" applyFill="1" applyBorder="1" applyAlignment="1"/>
    <xf numFmtId="0" fontId="2" fillId="2" borderId="0" xfId="0" applyFont="1" applyFill="1" applyBorder="1" applyAlignment="1"/>
    <xf numFmtId="49" fontId="2" fillId="2" borderId="4"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top" wrapText="1"/>
    </xf>
    <xf numFmtId="0" fontId="15" fillId="2" borderId="2" xfId="0" applyFont="1" applyFill="1" applyBorder="1" applyAlignment="1">
      <alignment horizontal="center" vertical="top" wrapText="1"/>
    </xf>
    <xf numFmtId="49" fontId="1" fillId="2" borderId="9" xfId="0" applyNumberFormat="1" applyFont="1" applyFill="1" applyBorder="1" applyAlignment="1">
      <alignment horizontal="center" vertical="top" wrapText="1"/>
    </xf>
    <xf numFmtId="0" fontId="15" fillId="2" borderId="8" xfId="0" applyFont="1" applyFill="1" applyBorder="1" applyAlignment="1">
      <alignment horizontal="center" vertical="top" wrapText="1"/>
    </xf>
    <xf numFmtId="49" fontId="1" fillId="2" borderId="11" xfId="0" applyNumberFormat="1" applyFont="1" applyFill="1" applyBorder="1" applyAlignment="1">
      <alignment horizontal="center" vertical="top" wrapText="1"/>
    </xf>
    <xf numFmtId="0" fontId="15" fillId="2" borderId="12" xfId="0" applyFont="1" applyFill="1" applyBorder="1" applyAlignment="1">
      <alignment horizontal="center" vertical="top" wrapText="1"/>
    </xf>
    <xf numFmtId="0" fontId="15" fillId="2" borderId="11" xfId="0" applyFont="1" applyFill="1" applyBorder="1" applyAlignment="1">
      <alignment horizontal="center" vertical="top" wrapText="1"/>
    </xf>
    <xf numFmtId="49" fontId="1" fillId="2" borderId="7" xfId="0" applyNumberFormat="1" applyFont="1" applyFill="1" applyBorder="1" applyAlignment="1">
      <alignment horizontal="center" vertical="top" wrapText="1"/>
    </xf>
    <xf numFmtId="49" fontId="1" fillId="2" borderId="13" xfId="0" applyNumberFormat="1" applyFont="1" applyFill="1" applyBorder="1" applyAlignment="1">
      <alignment horizontal="center" vertical="top" wrapText="1"/>
    </xf>
    <xf numFmtId="0" fontId="14" fillId="2" borderId="0" xfId="0" applyFont="1" applyFill="1" applyAlignment="1">
      <alignment vertical="top" wrapText="1"/>
    </xf>
    <xf numFmtId="0" fontId="1" fillId="2" borderId="0" xfId="0" applyFont="1" applyFill="1" applyAlignment="1">
      <alignment vertical="top"/>
    </xf>
    <xf numFmtId="49" fontId="1" fillId="2" borderId="10" xfId="0" applyNumberFormat="1" applyFont="1" applyFill="1" applyBorder="1" applyAlignment="1">
      <alignment horizontal="center" vertical="top" wrapText="1"/>
    </xf>
    <xf numFmtId="2" fontId="15" fillId="2" borderId="0" xfId="0" applyNumberFormat="1" applyFont="1" applyFill="1" applyBorder="1" applyAlignment="1">
      <alignment vertical="top" wrapText="1"/>
    </xf>
    <xf numFmtId="0" fontId="15" fillId="2" borderId="0" xfId="0" applyFont="1" applyFill="1" applyAlignment="1"/>
    <xf numFmtId="0" fontId="17" fillId="2" borderId="0" xfId="0" applyFont="1" applyFill="1" applyAlignment="1"/>
    <xf numFmtId="49" fontId="2" fillId="2" borderId="3"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0" fontId="1" fillId="0" borderId="7" xfId="0" applyFont="1" applyFill="1" applyBorder="1" applyAlignment="1">
      <alignment vertical="center" wrapText="1"/>
    </xf>
    <xf numFmtId="0" fontId="1" fillId="0" borderId="10" xfId="0" applyFont="1" applyFill="1" applyBorder="1" applyAlignment="1">
      <alignment vertical="center" wrapText="1"/>
    </xf>
  </cellXfs>
  <cellStyles count="4">
    <cellStyle name="Обычный" xfId="0" builtinId="0"/>
    <cellStyle name="Обычный 2" xfId="3"/>
    <cellStyle name="Обычный 3" xfId="2"/>
    <cellStyle name="Обычный_РРО Культура на 2013"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nternet.garant.ru/document/redirect/74944009/0" TargetMode="External"/></Relationships>
</file>

<file path=xl/worksheets/sheet1.xml><?xml version="1.0" encoding="utf-8"?>
<worksheet xmlns="http://schemas.openxmlformats.org/spreadsheetml/2006/main" xmlns:r="http://schemas.openxmlformats.org/officeDocument/2006/relationships">
  <dimension ref="A1:AQ470"/>
  <sheetViews>
    <sheetView tabSelected="1" topLeftCell="N1" workbookViewId="0">
      <selection activeCell="M444" sqref="M444"/>
    </sheetView>
  </sheetViews>
  <sheetFormatPr defaultRowHeight="35.1" customHeight="1"/>
  <cols>
    <col min="1" max="1" width="9.140625" style="256"/>
    <col min="2" max="2" width="7.28515625" style="256" customWidth="1"/>
    <col min="3" max="3" width="10" style="256" customWidth="1"/>
    <col min="4" max="5" width="9.140625" style="256" customWidth="1"/>
    <col min="6" max="6" width="7.85546875" style="256" customWidth="1"/>
    <col min="7" max="7" width="6.140625" style="256" customWidth="1"/>
    <col min="8" max="8" width="8.42578125" style="256" customWidth="1"/>
    <col min="9" max="11" width="9.140625" style="256" customWidth="1"/>
    <col min="12" max="12" width="4.7109375" style="256" customWidth="1"/>
    <col min="13" max="13" width="9.140625" style="1" customWidth="1"/>
    <col min="14" max="15" width="9.42578125" style="1" customWidth="1"/>
    <col min="16" max="17" width="9.28515625" style="1" customWidth="1"/>
    <col min="18" max="19" width="10.28515625" style="1" customWidth="1"/>
    <col min="20" max="20" width="5.5703125" style="1" customWidth="1"/>
    <col min="21" max="21" width="6.85546875" style="1" customWidth="1"/>
    <col min="22" max="23" width="10" style="1" customWidth="1"/>
    <col min="24" max="24" width="9.42578125" style="1" customWidth="1"/>
    <col min="25" max="25" width="9.28515625" style="1" customWidth="1"/>
    <col min="26" max="26" width="9" style="1" customWidth="1"/>
    <col min="27" max="27" width="7.140625" style="1" customWidth="1"/>
    <col min="28" max="28" width="9.85546875" style="1" customWidth="1"/>
    <col min="29" max="29" width="9.42578125" style="1" customWidth="1"/>
    <col min="30" max="30" width="8.42578125" style="1" customWidth="1"/>
    <col min="31" max="31" width="8.28515625" style="1" customWidth="1"/>
    <col min="32" max="32" width="7.42578125" style="1" customWidth="1"/>
    <col min="33" max="34" width="9.140625" style="1" customWidth="1"/>
    <col min="35" max="35" width="8.42578125" style="1" customWidth="1"/>
    <col min="36" max="36" width="8.28515625" style="1" customWidth="1"/>
    <col min="37" max="37" width="6.28515625" style="1" customWidth="1"/>
    <col min="38" max="38" width="9.7109375" style="1" customWidth="1"/>
    <col min="39" max="39" width="9.140625" style="1" customWidth="1"/>
    <col min="40" max="40" width="8.7109375" style="1" customWidth="1"/>
    <col min="41" max="41" width="8.28515625" style="1" customWidth="1"/>
    <col min="42" max="42" width="7" style="1" customWidth="1"/>
    <col min="43" max="43" width="10.140625" style="1" customWidth="1"/>
    <col min="44" max="16384" width="9.140625" style="249"/>
  </cols>
  <sheetData>
    <row r="1" spans="1:43" ht="35.1" customHeight="1">
      <c r="A1" s="1" t="s">
        <v>0</v>
      </c>
      <c r="B1" s="2"/>
      <c r="C1" s="3"/>
      <c r="D1" s="4"/>
      <c r="E1" s="4"/>
      <c r="F1" s="4"/>
      <c r="G1" s="4"/>
      <c r="H1" s="4"/>
      <c r="I1" s="1"/>
      <c r="J1" s="1"/>
      <c r="K1" s="1"/>
      <c r="L1" s="1"/>
    </row>
    <row r="2" spans="1:43" ht="35.1" customHeight="1">
      <c r="A2" s="1" t="s">
        <v>1</v>
      </c>
      <c r="B2" s="5"/>
      <c r="C2" s="6"/>
      <c r="D2" s="1"/>
      <c r="E2" s="1"/>
      <c r="F2" s="1"/>
      <c r="G2" s="1"/>
      <c r="H2" s="1"/>
      <c r="I2" s="1"/>
      <c r="J2" s="1"/>
      <c r="K2" s="1"/>
      <c r="L2" s="1"/>
      <c r="AA2" s="344" t="s">
        <v>679</v>
      </c>
      <c r="AB2" s="345"/>
      <c r="AC2" s="345"/>
      <c r="AD2" s="345"/>
      <c r="AE2" s="345"/>
      <c r="AF2" s="345"/>
      <c r="AG2" s="345"/>
    </row>
    <row r="3" spans="1:43" ht="35.1" customHeight="1">
      <c r="A3" s="1"/>
      <c r="B3" s="5"/>
      <c r="C3" s="6"/>
      <c r="D3" s="1"/>
      <c r="E3" s="1"/>
      <c r="F3" s="1"/>
      <c r="G3" s="1"/>
      <c r="H3" s="1"/>
      <c r="I3" s="1"/>
      <c r="J3" s="1"/>
      <c r="K3" s="1"/>
      <c r="L3" s="1"/>
      <c r="N3" s="330"/>
      <c r="O3" s="330"/>
      <c r="P3" s="331"/>
      <c r="Q3" s="331"/>
      <c r="R3" s="331"/>
      <c r="S3" s="331"/>
      <c r="T3" s="331"/>
      <c r="U3" s="331"/>
      <c r="V3" s="331"/>
      <c r="W3" s="189"/>
    </row>
    <row r="4" spans="1:43" ht="35.1" customHeight="1">
      <c r="A4" s="282" t="s">
        <v>2</v>
      </c>
      <c r="B4" s="285" t="s">
        <v>3</v>
      </c>
      <c r="C4" s="288" t="s">
        <v>4</v>
      </c>
      <c r="D4" s="289"/>
      <c r="E4" s="289"/>
      <c r="F4" s="289"/>
      <c r="G4" s="289"/>
      <c r="H4" s="289"/>
      <c r="I4" s="289"/>
      <c r="J4" s="289"/>
      <c r="K4" s="290"/>
      <c r="L4" s="299" t="s">
        <v>5</v>
      </c>
      <c r="M4" s="299" t="s">
        <v>6</v>
      </c>
      <c r="N4" s="249"/>
      <c r="O4" s="249"/>
      <c r="P4" s="250"/>
      <c r="Q4" s="250"/>
      <c r="R4" s="250"/>
      <c r="S4" s="250"/>
      <c r="T4" s="250"/>
      <c r="U4" s="250"/>
      <c r="V4" s="250"/>
      <c r="W4" s="250"/>
      <c r="X4" s="250"/>
      <c r="Y4" s="250"/>
      <c r="Z4" s="250"/>
      <c r="AA4" s="250"/>
      <c r="AB4" s="250"/>
      <c r="AC4" s="250"/>
      <c r="AD4" s="250"/>
      <c r="AE4" s="250"/>
      <c r="AF4" s="250"/>
      <c r="AG4" s="251"/>
      <c r="AH4" s="288" t="s">
        <v>680</v>
      </c>
      <c r="AI4" s="305"/>
      <c r="AJ4" s="305"/>
      <c r="AK4" s="305"/>
      <c r="AL4" s="305"/>
      <c r="AM4" s="305"/>
      <c r="AN4" s="305"/>
      <c r="AO4" s="305"/>
      <c r="AP4" s="305"/>
      <c r="AQ4" s="306"/>
    </row>
    <row r="5" spans="1:43" ht="35.1" customHeight="1">
      <c r="A5" s="283"/>
      <c r="B5" s="286"/>
      <c r="C5" s="302" t="s">
        <v>7</v>
      </c>
      <c r="D5" s="303"/>
      <c r="E5" s="304"/>
      <c r="F5" s="288" t="s">
        <v>8</v>
      </c>
      <c r="G5" s="305"/>
      <c r="H5" s="306"/>
      <c r="I5" s="288" t="s">
        <v>9</v>
      </c>
      <c r="J5" s="289"/>
      <c r="K5" s="290"/>
      <c r="L5" s="300"/>
      <c r="M5" s="300"/>
      <c r="N5" s="332" t="s">
        <v>10</v>
      </c>
      <c r="O5" s="333"/>
      <c r="P5" s="333"/>
      <c r="Q5" s="333"/>
      <c r="R5" s="333"/>
      <c r="S5" s="333"/>
      <c r="T5" s="333"/>
      <c r="U5" s="333"/>
      <c r="V5" s="333"/>
      <c r="W5" s="334"/>
      <c r="X5" s="281"/>
      <c r="Y5" s="192" t="s">
        <v>681</v>
      </c>
      <c r="Z5" s="192"/>
      <c r="AA5" s="192"/>
      <c r="AB5" s="193"/>
      <c r="AC5" s="281"/>
      <c r="AD5" s="192" t="s">
        <v>682</v>
      </c>
      <c r="AE5" s="192"/>
      <c r="AF5" s="192"/>
      <c r="AG5" s="193"/>
      <c r="AH5" s="332" t="s">
        <v>683</v>
      </c>
      <c r="AI5" s="333"/>
      <c r="AJ5" s="333"/>
      <c r="AK5" s="333"/>
      <c r="AL5" s="333"/>
      <c r="AM5" s="333"/>
      <c r="AN5" s="333"/>
      <c r="AO5" s="333"/>
      <c r="AP5" s="333"/>
      <c r="AQ5" s="334"/>
    </row>
    <row r="6" spans="1:43" ht="35.1" customHeight="1">
      <c r="A6" s="283"/>
      <c r="B6" s="286"/>
      <c r="C6" s="299" t="s">
        <v>11</v>
      </c>
      <c r="D6" s="299" t="s">
        <v>12</v>
      </c>
      <c r="E6" s="299" t="s">
        <v>13</v>
      </c>
      <c r="F6" s="299" t="s">
        <v>11</v>
      </c>
      <c r="G6" s="299" t="s">
        <v>14</v>
      </c>
      <c r="H6" s="299" t="s">
        <v>13</v>
      </c>
      <c r="I6" s="299" t="s">
        <v>11</v>
      </c>
      <c r="J6" s="299" t="s">
        <v>15</v>
      </c>
      <c r="K6" s="299" t="s">
        <v>13</v>
      </c>
      <c r="L6" s="300"/>
      <c r="M6" s="300"/>
      <c r="N6" s="335" t="s">
        <v>16</v>
      </c>
      <c r="O6" s="336"/>
      <c r="P6" s="335" t="s">
        <v>17</v>
      </c>
      <c r="Q6" s="336"/>
      <c r="R6" s="335" t="s">
        <v>18</v>
      </c>
      <c r="S6" s="336"/>
      <c r="T6" s="335" t="s">
        <v>19</v>
      </c>
      <c r="U6" s="336"/>
      <c r="V6" s="335" t="s">
        <v>20</v>
      </c>
      <c r="W6" s="336"/>
      <c r="X6" s="342" t="s">
        <v>16</v>
      </c>
      <c r="Y6" s="342" t="s">
        <v>17</v>
      </c>
      <c r="Z6" s="342" t="s">
        <v>18</v>
      </c>
      <c r="AA6" s="342" t="s">
        <v>19</v>
      </c>
      <c r="AB6" s="342" t="s">
        <v>20</v>
      </c>
      <c r="AC6" s="342" t="s">
        <v>16</v>
      </c>
      <c r="AD6" s="342" t="s">
        <v>17</v>
      </c>
      <c r="AE6" s="342" t="s">
        <v>18</v>
      </c>
      <c r="AF6" s="342" t="s">
        <v>19</v>
      </c>
      <c r="AG6" s="342" t="s">
        <v>20</v>
      </c>
      <c r="AH6" s="350" t="s">
        <v>684</v>
      </c>
      <c r="AI6" s="351"/>
      <c r="AJ6" s="351"/>
      <c r="AK6" s="351"/>
      <c r="AL6" s="352"/>
      <c r="AM6" s="350" t="s">
        <v>685</v>
      </c>
      <c r="AN6" s="351"/>
      <c r="AO6" s="351"/>
      <c r="AP6" s="351"/>
      <c r="AQ6" s="352"/>
    </row>
    <row r="7" spans="1:43" ht="35.1" customHeight="1">
      <c r="A7" s="283"/>
      <c r="B7" s="286"/>
      <c r="C7" s="300"/>
      <c r="D7" s="300"/>
      <c r="E7" s="300"/>
      <c r="F7" s="300"/>
      <c r="G7" s="300"/>
      <c r="H7" s="300"/>
      <c r="I7" s="300"/>
      <c r="J7" s="300"/>
      <c r="K7" s="300"/>
      <c r="L7" s="300"/>
      <c r="M7" s="300"/>
      <c r="N7" s="337"/>
      <c r="O7" s="338"/>
      <c r="P7" s="337"/>
      <c r="Q7" s="338"/>
      <c r="R7" s="337"/>
      <c r="S7" s="338"/>
      <c r="T7" s="337"/>
      <c r="U7" s="338"/>
      <c r="V7" s="337"/>
      <c r="W7" s="338"/>
      <c r="X7" s="346"/>
      <c r="Y7" s="346"/>
      <c r="Z7" s="346"/>
      <c r="AA7" s="346"/>
      <c r="AB7" s="346"/>
      <c r="AC7" s="346"/>
      <c r="AD7" s="346"/>
      <c r="AE7" s="346"/>
      <c r="AF7" s="346"/>
      <c r="AG7" s="346"/>
      <c r="AH7" s="353"/>
      <c r="AI7" s="354"/>
      <c r="AJ7" s="354"/>
      <c r="AK7" s="354"/>
      <c r="AL7" s="355"/>
      <c r="AM7" s="353"/>
      <c r="AN7" s="354"/>
      <c r="AO7" s="354"/>
      <c r="AP7" s="354"/>
      <c r="AQ7" s="355"/>
    </row>
    <row r="8" spans="1:43" ht="35.1" customHeight="1">
      <c r="A8" s="283"/>
      <c r="B8" s="286"/>
      <c r="C8" s="300"/>
      <c r="D8" s="300"/>
      <c r="E8" s="300"/>
      <c r="F8" s="300"/>
      <c r="G8" s="300"/>
      <c r="H8" s="300"/>
      <c r="I8" s="300"/>
      <c r="J8" s="300"/>
      <c r="K8" s="300"/>
      <c r="L8" s="300"/>
      <c r="M8" s="300"/>
      <c r="N8" s="337"/>
      <c r="O8" s="338"/>
      <c r="P8" s="337"/>
      <c r="Q8" s="338"/>
      <c r="R8" s="337"/>
      <c r="S8" s="338"/>
      <c r="T8" s="337"/>
      <c r="U8" s="338"/>
      <c r="V8" s="337"/>
      <c r="W8" s="338"/>
      <c r="X8" s="346"/>
      <c r="Y8" s="346"/>
      <c r="Z8" s="346"/>
      <c r="AA8" s="346"/>
      <c r="AB8" s="346"/>
      <c r="AC8" s="346"/>
      <c r="AD8" s="346"/>
      <c r="AE8" s="346"/>
      <c r="AF8" s="346"/>
      <c r="AG8" s="346"/>
      <c r="AH8" s="342" t="s">
        <v>16</v>
      </c>
      <c r="AI8" s="342" t="s">
        <v>17</v>
      </c>
      <c r="AJ8" s="342" t="s">
        <v>18</v>
      </c>
      <c r="AK8" s="342" t="s">
        <v>19</v>
      </c>
      <c r="AL8" s="342" t="s">
        <v>20</v>
      </c>
      <c r="AM8" s="342" t="s">
        <v>16</v>
      </c>
      <c r="AN8" s="342" t="s">
        <v>17</v>
      </c>
      <c r="AO8" s="342" t="s">
        <v>18</v>
      </c>
      <c r="AP8" s="342" t="s">
        <v>19</v>
      </c>
      <c r="AQ8" s="342" t="s">
        <v>20</v>
      </c>
    </row>
    <row r="9" spans="1:43" ht="35.1" customHeight="1">
      <c r="A9" s="283"/>
      <c r="B9" s="286"/>
      <c r="C9" s="300"/>
      <c r="D9" s="300"/>
      <c r="E9" s="300"/>
      <c r="F9" s="300"/>
      <c r="G9" s="300"/>
      <c r="H9" s="300"/>
      <c r="I9" s="300"/>
      <c r="J9" s="300"/>
      <c r="K9" s="300"/>
      <c r="L9" s="300"/>
      <c r="M9" s="300"/>
      <c r="N9" s="339"/>
      <c r="O9" s="340"/>
      <c r="P9" s="341"/>
      <c r="Q9" s="340"/>
      <c r="R9" s="341"/>
      <c r="S9" s="340"/>
      <c r="T9" s="341"/>
      <c r="U9" s="340"/>
      <c r="V9" s="341"/>
      <c r="W9" s="340"/>
      <c r="X9" s="346"/>
      <c r="Y9" s="176"/>
      <c r="Z9" s="242"/>
      <c r="AA9" s="295"/>
      <c r="AB9" s="242"/>
      <c r="AC9" s="346"/>
      <c r="AD9" s="176"/>
      <c r="AE9" s="242"/>
      <c r="AF9" s="295"/>
      <c r="AG9" s="242"/>
      <c r="AH9" s="346"/>
      <c r="AI9" s="346"/>
      <c r="AJ9" s="346"/>
      <c r="AK9" s="346"/>
      <c r="AL9" s="346"/>
      <c r="AM9" s="346"/>
      <c r="AN9" s="346"/>
      <c r="AO9" s="346"/>
      <c r="AP9" s="346"/>
      <c r="AQ9" s="346"/>
    </row>
    <row r="10" spans="1:43" ht="35.1" customHeight="1">
      <c r="A10" s="283"/>
      <c r="B10" s="286"/>
      <c r="C10" s="300"/>
      <c r="D10" s="300"/>
      <c r="E10" s="300"/>
      <c r="F10" s="300"/>
      <c r="G10" s="300"/>
      <c r="H10" s="300"/>
      <c r="I10" s="300"/>
      <c r="J10" s="300"/>
      <c r="K10" s="300"/>
      <c r="L10" s="300"/>
      <c r="M10" s="300"/>
      <c r="N10" s="342" t="s">
        <v>21</v>
      </c>
      <c r="O10" s="242" t="s">
        <v>22</v>
      </c>
      <c r="P10" s="342" t="s">
        <v>21</v>
      </c>
      <c r="Q10" s="242" t="s">
        <v>22</v>
      </c>
      <c r="R10" s="342" t="s">
        <v>21</v>
      </c>
      <c r="S10" s="242" t="s">
        <v>22</v>
      </c>
      <c r="T10" s="342" t="s">
        <v>21</v>
      </c>
      <c r="U10" s="242" t="s">
        <v>22</v>
      </c>
      <c r="V10" s="342" t="s">
        <v>21</v>
      </c>
      <c r="W10" s="242" t="s">
        <v>22</v>
      </c>
      <c r="X10" s="242"/>
      <c r="Y10" s="242"/>
      <c r="Z10" s="242"/>
      <c r="AA10" s="295"/>
      <c r="AB10" s="242"/>
      <c r="AC10" s="242"/>
      <c r="AD10" s="242"/>
      <c r="AE10" s="242"/>
      <c r="AF10" s="295"/>
      <c r="AG10" s="242"/>
      <c r="AH10" s="346"/>
      <c r="AI10" s="346"/>
      <c r="AJ10" s="346"/>
      <c r="AK10" s="346"/>
      <c r="AL10" s="346"/>
      <c r="AM10" s="346"/>
      <c r="AN10" s="346"/>
      <c r="AO10" s="346"/>
      <c r="AP10" s="346"/>
      <c r="AQ10" s="346"/>
    </row>
    <row r="11" spans="1:43" ht="35.1" customHeight="1">
      <c r="A11" s="284"/>
      <c r="B11" s="287"/>
      <c r="C11" s="301"/>
      <c r="D11" s="301"/>
      <c r="E11" s="301"/>
      <c r="F11" s="301"/>
      <c r="G11" s="301"/>
      <c r="H11" s="301"/>
      <c r="I11" s="301"/>
      <c r="J11" s="301"/>
      <c r="K11" s="301"/>
      <c r="L11" s="301"/>
      <c r="M11" s="301"/>
      <c r="N11" s="343"/>
      <c r="O11" s="194"/>
      <c r="P11" s="343"/>
      <c r="Q11" s="194"/>
      <c r="R11" s="343"/>
      <c r="S11" s="194"/>
      <c r="T11" s="343"/>
      <c r="U11" s="194"/>
      <c r="V11" s="343"/>
      <c r="W11" s="194"/>
      <c r="X11" s="194"/>
      <c r="Y11" s="194"/>
      <c r="Z11" s="194"/>
      <c r="AA11" s="194"/>
      <c r="AB11" s="194"/>
      <c r="AC11" s="194"/>
      <c r="AD11" s="194"/>
      <c r="AE11" s="194"/>
      <c r="AF11" s="296"/>
      <c r="AG11" s="194"/>
      <c r="AH11" s="343"/>
      <c r="AI11" s="343"/>
      <c r="AJ11" s="343"/>
      <c r="AK11" s="343"/>
      <c r="AL11" s="343"/>
      <c r="AM11" s="343"/>
      <c r="AN11" s="343"/>
      <c r="AO11" s="343"/>
      <c r="AP11" s="343"/>
      <c r="AQ11" s="343"/>
    </row>
    <row r="12" spans="1:43" ht="35.1" customHeight="1">
      <c r="A12" s="191">
        <v>1</v>
      </c>
      <c r="B12" s="7" t="s">
        <v>23</v>
      </c>
      <c r="C12" s="228">
        <v>3</v>
      </c>
      <c r="D12" s="228">
        <v>4</v>
      </c>
      <c r="E12" s="228">
        <v>5</v>
      </c>
      <c r="F12" s="228">
        <v>6</v>
      </c>
      <c r="G12" s="228">
        <v>7</v>
      </c>
      <c r="H12" s="228">
        <v>8</v>
      </c>
      <c r="I12" s="228">
        <v>9</v>
      </c>
      <c r="J12" s="228">
        <v>10</v>
      </c>
      <c r="K12" s="228">
        <v>11</v>
      </c>
      <c r="L12" s="228">
        <v>12</v>
      </c>
      <c r="M12" s="228">
        <v>30</v>
      </c>
      <c r="N12" s="228" t="s">
        <v>24</v>
      </c>
      <c r="O12" s="228" t="s">
        <v>25</v>
      </c>
      <c r="P12" s="228">
        <v>33</v>
      </c>
      <c r="Q12" s="228">
        <v>34</v>
      </c>
      <c r="R12" s="228">
        <v>35</v>
      </c>
      <c r="S12" s="228">
        <v>36</v>
      </c>
      <c r="T12" s="228">
        <v>37</v>
      </c>
      <c r="U12" s="228">
        <v>38</v>
      </c>
      <c r="V12" s="228">
        <v>39</v>
      </c>
      <c r="W12" s="228">
        <v>40</v>
      </c>
      <c r="X12" s="228" t="s">
        <v>686</v>
      </c>
      <c r="Y12" s="228">
        <v>42</v>
      </c>
      <c r="Z12" s="228">
        <v>43</v>
      </c>
      <c r="AA12" s="228">
        <v>44</v>
      </c>
      <c r="AB12" s="228">
        <v>45</v>
      </c>
      <c r="AC12" s="228" t="s">
        <v>687</v>
      </c>
      <c r="AD12" s="228">
        <v>47</v>
      </c>
      <c r="AE12" s="228">
        <v>48</v>
      </c>
      <c r="AF12" s="228">
        <v>49</v>
      </c>
      <c r="AG12" s="228">
        <v>50</v>
      </c>
      <c r="AH12" s="228" t="s">
        <v>688</v>
      </c>
      <c r="AI12" s="228">
        <v>52</v>
      </c>
      <c r="AJ12" s="228">
        <v>53</v>
      </c>
      <c r="AK12" s="228">
        <v>54</v>
      </c>
      <c r="AL12" s="228">
        <v>55</v>
      </c>
      <c r="AM12" s="228" t="s">
        <v>689</v>
      </c>
      <c r="AN12" s="228">
        <v>57</v>
      </c>
      <c r="AO12" s="228">
        <v>58</v>
      </c>
      <c r="AP12" s="228">
        <v>59</v>
      </c>
      <c r="AQ12" s="228">
        <v>60</v>
      </c>
    </row>
    <row r="13" spans="1:43" ht="35.1" customHeight="1">
      <c r="A13" s="8" t="s">
        <v>26</v>
      </c>
      <c r="B13" s="9">
        <v>2500</v>
      </c>
      <c r="C13" s="9" t="s">
        <v>27</v>
      </c>
      <c r="D13" s="9" t="s">
        <v>27</v>
      </c>
      <c r="E13" s="9" t="s">
        <v>27</v>
      </c>
      <c r="F13" s="9"/>
      <c r="G13" s="9"/>
      <c r="H13" s="9"/>
      <c r="I13" s="9" t="s">
        <v>27</v>
      </c>
      <c r="J13" s="9" t="s">
        <v>27</v>
      </c>
      <c r="K13" s="9" t="s">
        <v>27</v>
      </c>
      <c r="L13" s="9" t="s">
        <v>27</v>
      </c>
      <c r="M13" s="9" t="s">
        <v>27</v>
      </c>
      <c r="N13" s="10">
        <f t="shared" ref="N13:AQ13" si="0">N14+N229+N321+N343+N419+N436</f>
        <v>2508152.5999999996</v>
      </c>
      <c r="O13" s="10">
        <f t="shared" si="0"/>
        <v>2305134.9999999995</v>
      </c>
      <c r="P13" s="10">
        <f t="shared" si="0"/>
        <v>72229.3</v>
      </c>
      <c r="Q13" s="10">
        <f t="shared" si="0"/>
        <v>72125.899999999994</v>
      </c>
      <c r="R13" s="10">
        <f t="shared" si="0"/>
        <v>1174735.2000000002</v>
      </c>
      <c r="S13" s="10">
        <f t="shared" si="0"/>
        <v>1099380.9000000001</v>
      </c>
      <c r="T13" s="10">
        <f t="shared" si="0"/>
        <v>148.80000000000001</v>
      </c>
      <c r="U13" s="10">
        <f t="shared" si="0"/>
        <v>148.80000000000001</v>
      </c>
      <c r="V13" s="10">
        <f t="shared" si="0"/>
        <v>1261039.2999999998</v>
      </c>
      <c r="W13" s="10">
        <f t="shared" si="0"/>
        <v>1133479.3999999999</v>
      </c>
      <c r="X13" s="10">
        <f t="shared" si="0"/>
        <v>1867992.9</v>
      </c>
      <c r="Y13" s="10">
        <f t="shared" si="0"/>
        <v>47620.2</v>
      </c>
      <c r="Z13" s="10">
        <f t="shared" si="0"/>
        <v>682776.5</v>
      </c>
      <c r="AA13" s="10">
        <f t="shared" si="0"/>
        <v>1300</v>
      </c>
      <c r="AB13" s="10">
        <f t="shared" si="0"/>
        <v>1136296.1999999997</v>
      </c>
      <c r="AC13" s="10">
        <f t="shared" si="0"/>
        <v>1936437.5999999999</v>
      </c>
      <c r="AD13" s="10">
        <f t="shared" si="0"/>
        <v>41887.600000000006</v>
      </c>
      <c r="AE13" s="10">
        <f t="shared" si="0"/>
        <v>838072.5</v>
      </c>
      <c r="AF13" s="10">
        <f t="shared" si="0"/>
        <v>1300</v>
      </c>
      <c r="AG13" s="10">
        <f t="shared" si="0"/>
        <v>1055177.4999999998</v>
      </c>
      <c r="AH13" s="10">
        <f t="shared" si="0"/>
        <v>1754802.5</v>
      </c>
      <c r="AI13" s="10">
        <f t="shared" si="0"/>
        <v>32913.199999999997</v>
      </c>
      <c r="AJ13" s="10">
        <f t="shared" si="0"/>
        <v>667426.80000000005</v>
      </c>
      <c r="AK13" s="10">
        <f t="shared" si="0"/>
        <v>1300</v>
      </c>
      <c r="AL13" s="10">
        <f t="shared" si="0"/>
        <v>1053162.5</v>
      </c>
      <c r="AM13" s="10">
        <f t="shared" si="0"/>
        <v>1754802.5</v>
      </c>
      <c r="AN13" s="10">
        <f t="shared" si="0"/>
        <v>32913.199999999997</v>
      </c>
      <c r="AO13" s="10">
        <f t="shared" si="0"/>
        <v>667426.80000000005</v>
      </c>
      <c r="AP13" s="10">
        <f t="shared" si="0"/>
        <v>1300</v>
      </c>
      <c r="AQ13" s="10">
        <f t="shared" si="0"/>
        <v>1053162.5</v>
      </c>
    </row>
    <row r="14" spans="1:43" ht="35.1" customHeight="1">
      <c r="A14" s="8" t="s">
        <v>28</v>
      </c>
      <c r="B14" s="9">
        <v>2501</v>
      </c>
      <c r="C14" s="9" t="s">
        <v>27</v>
      </c>
      <c r="D14" s="9" t="s">
        <v>27</v>
      </c>
      <c r="E14" s="9" t="s">
        <v>27</v>
      </c>
      <c r="F14" s="9"/>
      <c r="G14" s="9"/>
      <c r="H14" s="9"/>
      <c r="I14" s="9" t="s">
        <v>27</v>
      </c>
      <c r="J14" s="9" t="s">
        <v>27</v>
      </c>
      <c r="K14" s="9" t="s">
        <v>27</v>
      </c>
      <c r="L14" s="9" t="s">
        <v>27</v>
      </c>
      <c r="M14" s="9" t="s">
        <v>27</v>
      </c>
      <c r="N14" s="10">
        <f t="shared" ref="N14:AQ14" si="1">N16+N29+N40+N51+N64+N67+N73+N77+N94+N118+N136+N137+N145+N153+N174+N189+N192+N194+N197+N201+N214+N217+N221+N226</f>
        <v>1566005.0999999996</v>
      </c>
      <c r="O14" s="10">
        <f t="shared" si="1"/>
        <v>1372913.3999999997</v>
      </c>
      <c r="P14" s="10">
        <f t="shared" si="1"/>
        <v>51709</v>
      </c>
      <c r="Q14" s="10">
        <f t="shared" si="1"/>
        <v>51631.199999999997</v>
      </c>
      <c r="R14" s="10">
        <f t="shared" si="1"/>
        <v>432110.39999999997</v>
      </c>
      <c r="S14" s="10">
        <f t="shared" si="1"/>
        <v>359348.8</v>
      </c>
      <c r="T14" s="10">
        <f t="shared" si="1"/>
        <v>148.80000000000001</v>
      </c>
      <c r="U14" s="10">
        <f t="shared" si="1"/>
        <v>148.80000000000001</v>
      </c>
      <c r="V14" s="10">
        <f t="shared" si="1"/>
        <v>1082036.8999999999</v>
      </c>
      <c r="W14" s="10">
        <f t="shared" si="1"/>
        <v>961784.6</v>
      </c>
      <c r="X14" s="10">
        <f t="shared" si="1"/>
        <v>1016499.4999999997</v>
      </c>
      <c r="Y14" s="10">
        <f t="shared" si="1"/>
        <v>22994.5</v>
      </c>
      <c r="Z14" s="10">
        <f t="shared" si="1"/>
        <v>24262.100000000002</v>
      </c>
      <c r="AA14" s="10">
        <f t="shared" si="1"/>
        <v>1300</v>
      </c>
      <c r="AB14" s="10">
        <f t="shared" si="1"/>
        <v>967942.89999999979</v>
      </c>
      <c r="AC14" s="10">
        <f t="shared" si="1"/>
        <v>1089364.7999999998</v>
      </c>
      <c r="AD14" s="10">
        <f t="shared" si="1"/>
        <v>18037.900000000001</v>
      </c>
      <c r="AE14" s="10">
        <f t="shared" si="1"/>
        <v>182923.8</v>
      </c>
      <c r="AF14" s="10">
        <f t="shared" si="1"/>
        <v>1300</v>
      </c>
      <c r="AG14" s="10">
        <f t="shared" si="1"/>
        <v>887103.09999999986</v>
      </c>
      <c r="AH14" s="10">
        <f t="shared" si="1"/>
        <v>908363.7</v>
      </c>
      <c r="AI14" s="10">
        <f t="shared" si="1"/>
        <v>8690.2999999999993</v>
      </c>
      <c r="AJ14" s="10">
        <f t="shared" si="1"/>
        <v>13284.599999999999</v>
      </c>
      <c r="AK14" s="10">
        <f t="shared" si="1"/>
        <v>1300</v>
      </c>
      <c r="AL14" s="10">
        <f t="shared" si="1"/>
        <v>885088.8</v>
      </c>
      <c r="AM14" s="10">
        <f t="shared" si="1"/>
        <v>908363.7</v>
      </c>
      <c r="AN14" s="10">
        <f t="shared" si="1"/>
        <v>8690.2999999999993</v>
      </c>
      <c r="AO14" s="10">
        <f t="shared" si="1"/>
        <v>13284.599999999999</v>
      </c>
      <c r="AP14" s="10">
        <f t="shared" si="1"/>
        <v>1300</v>
      </c>
      <c r="AQ14" s="10">
        <f t="shared" si="1"/>
        <v>885088.8</v>
      </c>
    </row>
    <row r="15" spans="1:43" ht="35.1" customHeight="1">
      <c r="A15" s="11" t="s">
        <v>29</v>
      </c>
      <c r="B15" s="201">
        <v>2502</v>
      </c>
      <c r="C15" s="12"/>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row>
    <row r="16" spans="1:43" ht="35.1" customHeight="1" thickBot="1">
      <c r="A16" s="17" t="s">
        <v>30</v>
      </c>
      <c r="B16" s="18">
        <v>2504</v>
      </c>
      <c r="C16" s="19"/>
      <c r="D16" s="20"/>
      <c r="E16" s="20"/>
      <c r="F16" s="20"/>
      <c r="G16" s="20"/>
      <c r="H16" s="20"/>
      <c r="I16" s="20"/>
      <c r="J16" s="20"/>
      <c r="K16" s="20"/>
      <c r="L16" s="20">
        <v>1</v>
      </c>
      <c r="M16" s="21"/>
      <c r="N16" s="20">
        <f>N28+N17+N18+N23+N24+N26+N19+N20+N21+N22+N25+N27</f>
        <v>19784.500000000004</v>
      </c>
      <c r="O16" s="20">
        <f t="shared" ref="O16:AQ16" si="2">O28+O17+O18+O23+O24+O26+O19+O20+O21+O22+O25+O27</f>
        <v>3857.4000000000005</v>
      </c>
      <c r="P16" s="20">
        <f t="shared" si="2"/>
        <v>0</v>
      </c>
      <c r="Q16" s="20">
        <f t="shared" si="2"/>
        <v>0</v>
      </c>
      <c r="R16" s="20">
        <f t="shared" si="2"/>
        <v>994.9</v>
      </c>
      <c r="S16" s="20">
        <f t="shared" si="2"/>
        <v>718.5</v>
      </c>
      <c r="T16" s="20">
        <f t="shared" si="2"/>
        <v>0</v>
      </c>
      <c r="U16" s="20">
        <f t="shared" si="2"/>
        <v>0</v>
      </c>
      <c r="V16" s="20">
        <f t="shared" si="2"/>
        <v>18789.600000000002</v>
      </c>
      <c r="W16" s="20">
        <f t="shared" si="2"/>
        <v>3138.9</v>
      </c>
      <c r="X16" s="20">
        <f t="shared" si="2"/>
        <v>3250</v>
      </c>
      <c r="Y16" s="20">
        <f t="shared" si="2"/>
        <v>0</v>
      </c>
      <c r="Z16" s="20">
        <f t="shared" si="2"/>
        <v>0</v>
      </c>
      <c r="AA16" s="20">
        <f t="shared" si="2"/>
        <v>0</v>
      </c>
      <c r="AB16" s="20">
        <f t="shared" si="2"/>
        <v>3250</v>
      </c>
      <c r="AC16" s="20">
        <f t="shared" si="2"/>
        <v>3000</v>
      </c>
      <c r="AD16" s="20">
        <f t="shared" si="2"/>
        <v>0</v>
      </c>
      <c r="AE16" s="20">
        <f t="shared" si="2"/>
        <v>0</v>
      </c>
      <c r="AF16" s="20">
        <f t="shared" si="2"/>
        <v>0</v>
      </c>
      <c r="AG16" s="20">
        <f t="shared" si="2"/>
        <v>3000</v>
      </c>
      <c r="AH16" s="20">
        <f t="shared" si="2"/>
        <v>3000</v>
      </c>
      <c r="AI16" s="20">
        <f t="shared" si="2"/>
        <v>0</v>
      </c>
      <c r="AJ16" s="20">
        <f t="shared" si="2"/>
        <v>0</v>
      </c>
      <c r="AK16" s="20">
        <f t="shared" si="2"/>
        <v>0</v>
      </c>
      <c r="AL16" s="20">
        <f t="shared" si="2"/>
        <v>3000</v>
      </c>
      <c r="AM16" s="20">
        <f t="shared" si="2"/>
        <v>3000</v>
      </c>
      <c r="AN16" s="20">
        <f t="shared" si="2"/>
        <v>0</v>
      </c>
      <c r="AO16" s="20">
        <f t="shared" si="2"/>
        <v>0</v>
      </c>
      <c r="AP16" s="20">
        <f t="shared" si="2"/>
        <v>0</v>
      </c>
      <c r="AQ16" s="20">
        <f t="shared" si="2"/>
        <v>3000</v>
      </c>
    </row>
    <row r="17" spans="1:43" ht="35.1" customHeight="1" thickBot="1">
      <c r="A17" s="14"/>
      <c r="B17" s="22"/>
      <c r="C17" s="197" t="s">
        <v>31</v>
      </c>
      <c r="D17" s="205" t="s">
        <v>32</v>
      </c>
      <c r="E17" s="208" t="s">
        <v>33</v>
      </c>
      <c r="F17" s="23" t="s">
        <v>34</v>
      </c>
      <c r="G17" s="23" t="s">
        <v>35</v>
      </c>
      <c r="H17" s="23" t="s">
        <v>36</v>
      </c>
      <c r="I17" s="291" t="s">
        <v>860</v>
      </c>
      <c r="J17" s="291" t="s">
        <v>97</v>
      </c>
      <c r="K17" s="297" t="s">
        <v>861</v>
      </c>
      <c r="L17" s="13"/>
      <c r="M17" s="28" t="s">
        <v>40</v>
      </c>
      <c r="N17" s="13">
        <f>P17+R17+T17+V17</f>
        <v>204</v>
      </c>
      <c r="O17" s="13">
        <f t="shared" ref="O17:O28" si="3">Q17+S17+U17+W17</f>
        <v>204</v>
      </c>
      <c r="P17" s="13"/>
      <c r="Q17" s="13"/>
      <c r="R17" s="13"/>
      <c r="S17" s="13"/>
      <c r="T17" s="13"/>
      <c r="U17" s="13"/>
      <c r="V17" s="13">
        <v>204</v>
      </c>
      <c r="W17" s="13">
        <v>204</v>
      </c>
      <c r="X17" s="13">
        <f>Y17+Z17+AA17+AB17</f>
        <v>1250</v>
      </c>
      <c r="Y17" s="13"/>
      <c r="Z17" s="13"/>
      <c r="AA17" s="13"/>
      <c r="AB17" s="13">
        <v>1250</v>
      </c>
      <c r="AC17" s="13">
        <f>AD17+AE17+AF17+AG17</f>
        <v>1000</v>
      </c>
      <c r="AD17" s="13"/>
      <c r="AE17" s="13"/>
      <c r="AF17" s="13"/>
      <c r="AG17" s="13">
        <v>1000</v>
      </c>
      <c r="AH17" s="13">
        <f>AI17+AJ17+AK17+AL17</f>
        <v>1000</v>
      </c>
      <c r="AI17" s="13"/>
      <c r="AJ17" s="13"/>
      <c r="AK17" s="13"/>
      <c r="AL17" s="13">
        <v>1000</v>
      </c>
      <c r="AM17" s="13">
        <f>AN17+AO17+AP17+AQ17</f>
        <v>1000</v>
      </c>
      <c r="AN17" s="13"/>
      <c r="AO17" s="13"/>
      <c r="AP17" s="13"/>
      <c r="AQ17" s="13">
        <v>1000</v>
      </c>
    </row>
    <row r="18" spans="1:43" ht="35.1" customHeight="1" thickBot="1">
      <c r="A18" s="14"/>
      <c r="B18" s="22"/>
      <c r="C18" s="23" t="s">
        <v>45</v>
      </c>
      <c r="D18" s="23" t="s">
        <v>46</v>
      </c>
      <c r="E18" s="23" t="s">
        <v>47</v>
      </c>
      <c r="F18" s="23" t="s">
        <v>48</v>
      </c>
      <c r="G18" s="23" t="s">
        <v>35</v>
      </c>
      <c r="H18" s="23" t="s">
        <v>49</v>
      </c>
      <c r="I18" s="292"/>
      <c r="J18" s="292"/>
      <c r="K18" s="298"/>
      <c r="L18" s="13"/>
      <c r="M18" s="28" t="s">
        <v>41</v>
      </c>
      <c r="N18" s="13">
        <f t="shared" ref="N18:N28" si="4">P18+R18+T18+V18</f>
        <v>388.1</v>
      </c>
      <c r="O18" s="13">
        <f t="shared" si="3"/>
        <v>365.3</v>
      </c>
      <c r="P18" s="13"/>
      <c r="Q18" s="13"/>
      <c r="R18" s="13"/>
      <c r="S18" s="13"/>
      <c r="T18" s="13"/>
      <c r="U18" s="13"/>
      <c r="V18" s="13">
        <f>135.8+229.5+22.8</f>
        <v>388.1</v>
      </c>
      <c r="W18" s="13">
        <v>365.3</v>
      </c>
      <c r="X18" s="13">
        <f t="shared" ref="X18:X28" si="5">Y18+Z18+AA18+AB18</f>
        <v>0</v>
      </c>
      <c r="Y18" s="13"/>
      <c r="Z18" s="13"/>
      <c r="AA18" s="13"/>
      <c r="AB18" s="13">
        <v>0</v>
      </c>
      <c r="AC18" s="13">
        <f t="shared" ref="AC18:AC28" si="6">AD18+AE18+AF18+AG18</f>
        <v>0</v>
      </c>
      <c r="AD18" s="13"/>
      <c r="AE18" s="13"/>
      <c r="AF18" s="13"/>
      <c r="AG18" s="13"/>
      <c r="AH18" s="13">
        <f t="shared" ref="AH18:AH25" si="7">AI18+AJ18+AK18+AL18</f>
        <v>0</v>
      </c>
      <c r="AI18" s="13"/>
      <c r="AJ18" s="13"/>
      <c r="AK18" s="13"/>
      <c r="AL18" s="13"/>
      <c r="AM18" s="13">
        <f t="shared" ref="AM18:AM25" si="8">AN18+AO18+AP18+AQ18</f>
        <v>0</v>
      </c>
      <c r="AN18" s="13"/>
      <c r="AO18" s="13"/>
      <c r="AP18" s="13"/>
      <c r="AQ18" s="13"/>
    </row>
    <row r="19" spans="1:43" ht="35.1" customHeight="1" thickBot="1">
      <c r="A19" s="14"/>
      <c r="B19" s="22"/>
      <c r="C19" s="23" t="s">
        <v>51</v>
      </c>
      <c r="D19" s="23" t="s">
        <v>52</v>
      </c>
      <c r="E19" s="23" t="s">
        <v>53</v>
      </c>
      <c r="F19" s="23" t="s">
        <v>54</v>
      </c>
      <c r="G19" s="23" t="s">
        <v>35</v>
      </c>
      <c r="H19" s="23" t="s">
        <v>55</v>
      </c>
      <c r="I19" s="293"/>
      <c r="J19" s="295"/>
      <c r="K19" s="295"/>
      <c r="L19" s="13"/>
      <c r="M19" s="28" t="s">
        <v>42</v>
      </c>
      <c r="N19" s="13">
        <f t="shared" si="4"/>
        <v>1106.5999999999999</v>
      </c>
      <c r="O19" s="13">
        <f t="shared" si="3"/>
        <v>926</v>
      </c>
      <c r="P19" s="13"/>
      <c r="Q19" s="13"/>
      <c r="R19" s="13"/>
      <c r="S19" s="13"/>
      <c r="T19" s="13"/>
      <c r="U19" s="13"/>
      <c r="V19" s="13">
        <v>1106.5999999999999</v>
      </c>
      <c r="W19" s="13">
        <v>926</v>
      </c>
      <c r="X19" s="13">
        <f t="shared" si="5"/>
        <v>200</v>
      </c>
      <c r="Y19" s="13"/>
      <c r="Z19" s="13"/>
      <c r="AA19" s="13"/>
      <c r="AB19" s="13">
        <v>200</v>
      </c>
      <c r="AC19" s="13">
        <f t="shared" si="6"/>
        <v>200</v>
      </c>
      <c r="AD19" s="13"/>
      <c r="AE19" s="13"/>
      <c r="AF19" s="13"/>
      <c r="AG19" s="13">
        <v>200</v>
      </c>
      <c r="AH19" s="13">
        <f t="shared" si="7"/>
        <v>200</v>
      </c>
      <c r="AI19" s="13"/>
      <c r="AJ19" s="13"/>
      <c r="AK19" s="13"/>
      <c r="AL19" s="13">
        <v>200</v>
      </c>
      <c r="AM19" s="13">
        <f t="shared" si="8"/>
        <v>200</v>
      </c>
      <c r="AN19" s="13"/>
      <c r="AO19" s="13"/>
      <c r="AP19" s="13"/>
      <c r="AQ19" s="13">
        <v>200</v>
      </c>
    </row>
    <row r="20" spans="1:43" ht="35.1" customHeight="1" thickBot="1">
      <c r="A20" s="14"/>
      <c r="B20" s="22"/>
      <c r="C20" s="199"/>
      <c r="D20" s="207"/>
      <c r="E20" s="207"/>
      <c r="F20" s="13"/>
      <c r="G20" s="13"/>
      <c r="H20" s="13"/>
      <c r="I20" s="293"/>
      <c r="J20" s="295"/>
      <c r="K20" s="295"/>
      <c r="L20" s="13"/>
      <c r="M20" s="28" t="s">
        <v>43</v>
      </c>
      <c r="N20" s="13">
        <f t="shared" si="4"/>
        <v>150</v>
      </c>
      <c r="O20" s="13">
        <f t="shared" si="3"/>
        <v>102.2</v>
      </c>
      <c r="P20" s="13"/>
      <c r="Q20" s="13"/>
      <c r="R20" s="13"/>
      <c r="S20" s="13"/>
      <c r="T20" s="13"/>
      <c r="U20" s="13"/>
      <c r="V20" s="13">
        <v>150</v>
      </c>
      <c r="W20" s="13">
        <v>102.2</v>
      </c>
      <c r="X20" s="13">
        <f t="shared" si="5"/>
        <v>600</v>
      </c>
      <c r="Y20" s="13"/>
      <c r="Z20" s="13"/>
      <c r="AA20" s="13"/>
      <c r="AB20" s="13">
        <v>600</v>
      </c>
      <c r="AC20" s="13">
        <f t="shared" si="6"/>
        <v>600</v>
      </c>
      <c r="AD20" s="13"/>
      <c r="AE20" s="13"/>
      <c r="AF20" s="13"/>
      <c r="AG20" s="13">
        <v>600</v>
      </c>
      <c r="AH20" s="13">
        <f t="shared" si="7"/>
        <v>600</v>
      </c>
      <c r="AI20" s="13"/>
      <c r="AJ20" s="13"/>
      <c r="AK20" s="13"/>
      <c r="AL20" s="13">
        <v>600</v>
      </c>
      <c r="AM20" s="13">
        <f t="shared" si="8"/>
        <v>600</v>
      </c>
      <c r="AN20" s="13"/>
      <c r="AO20" s="13"/>
      <c r="AP20" s="13"/>
      <c r="AQ20" s="13">
        <v>600</v>
      </c>
    </row>
    <row r="21" spans="1:43" ht="35.1" customHeight="1" thickBot="1">
      <c r="A21" s="14"/>
      <c r="B21" s="41"/>
      <c r="C21" s="198"/>
      <c r="D21" s="206"/>
      <c r="E21" s="206"/>
      <c r="F21" s="35"/>
      <c r="G21" s="35"/>
      <c r="H21" s="35"/>
      <c r="I21" s="293"/>
      <c r="J21" s="295"/>
      <c r="K21" s="295"/>
      <c r="L21" s="13"/>
      <c r="M21" s="28" t="s">
        <v>44</v>
      </c>
      <c r="N21" s="13">
        <f t="shared" si="4"/>
        <v>1086.4000000000001</v>
      </c>
      <c r="O21" s="13">
        <f t="shared" si="3"/>
        <v>908.2</v>
      </c>
      <c r="P21" s="13"/>
      <c r="Q21" s="13"/>
      <c r="R21" s="13"/>
      <c r="S21" s="13"/>
      <c r="T21" s="13"/>
      <c r="U21" s="13"/>
      <c r="V21" s="13">
        <f>786.4+300</f>
        <v>1086.4000000000001</v>
      </c>
      <c r="W21" s="13">
        <v>908.2</v>
      </c>
      <c r="X21" s="13">
        <f t="shared" si="5"/>
        <v>800</v>
      </c>
      <c r="Y21" s="13"/>
      <c r="Z21" s="13"/>
      <c r="AA21" s="13"/>
      <c r="AB21" s="13">
        <v>800</v>
      </c>
      <c r="AC21" s="13">
        <f t="shared" si="6"/>
        <v>800</v>
      </c>
      <c r="AD21" s="13"/>
      <c r="AE21" s="13"/>
      <c r="AF21" s="13"/>
      <c r="AG21" s="13">
        <v>800</v>
      </c>
      <c r="AH21" s="13">
        <f t="shared" si="7"/>
        <v>800</v>
      </c>
      <c r="AI21" s="13"/>
      <c r="AJ21" s="13"/>
      <c r="AK21" s="13"/>
      <c r="AL21" s="13">
        <v>800</v>
      </c>
      <c r="AM21" s="13">
        <f t="shared" si="8"/>
        <v>800</v>
      </c>
      <c r="AN21" s="13"/>
      <c r="AO21" s="13"/>
      <c r="AP21" s="13"/>
      <c r="AQ21" s="13">
        <v>800</v>
      </c>
    </row>
    <row r="22" spans="1:43" ht="35.1" customHeight="1" thickBot="1">
      <c r="A22" s="149"/>
      <c r="B22" s="25"/>
      <c r="C22" s="252"/>
      <c r="D22" s="252"/>
      <c r="E22" s="252"/>
      <c r="F22" s="252"/>
      <c r="G22" s="252"/>
      <c r="H22" s="252"/>
      <c r="I22" s="293"/>
      <c r="J22" s="295"/>
      <c r="K22" s="295"/>
      <c r="L22" s="13"/>
      <c r="M22" s="28" t="s">
        <v>50</v>
      </c>
      <c r="N22" s="13">
        <f t="shared" si="4"/>
        <v>995.9</v>
      </c>
      <c r="O22" s="13">
        <f t="shared" si="3"/>
        <v>719.2</v>
      </c>
      <c r="P22" s="13"/>
      <c r="Q22" s="13"/>
      <c r="R22" s="13">
        <v>994.9</v>
      </c>
      <c r="S22" s="13">
        <v>718.5</v>
      </c>
      <c r="T22" s="13"/>
      <c r="U22" s="13"/>
      <c r="V22" s="13">
        <v>1</v>
      </c>
      <c r="W22" s="13">
        <v>0.7</v>
      </c>
      <c r="X22" s="13">
        <f t="shared" si="5"/>
        <v>0</v>
      </c>
      <c r="Y22" s="13"/>
      <c r="Z22" s="13">
        <v>0</v>
      </c>
      <c r="AA22" s="13"/>
      <c r="AB22" s="13">
        <v>0</v>
      </c>
      <c r="AC22" s="13">
        <f t="shared" si="6"/>
        <v>0</v>
      </c>
      <c r="AD22" s="13"/>
      <c r="AE22" s="13"/>
      <c r="AF22" s="13"/>
      <c r="AG22" s="13">
        <v>0</v>
      </c>
      <c r="AH22" s="13">
        <f t="shared" si="7"/>
        <v>0</v>
      </c>
      <c r="AI22" s="13"/>
      <c r="AJ22" s="13"/>
      <c r="AK22" s="13"/>
      <c r="AL22" s="13">
        <v>0</v>
      </c>
      <c r="AM22" s="13">
        <f t="shared" si="8"/>
        <v>0</v>
      </c>
      <c r="AN22" s="13"/>
      <c r="AO22" s="13"/>
      <c r="AP22" s="13"/>
      <c r="AQ22" s="13">
        <v>0</v>
      </c>
    </row>
    <row r="23" spans="1:43" ht="35.1" customHeight="1" thickBot="1">
      <c r="A23" s="149"/>
      <c r="B23" s="25"/>
      <c r="C23" s="252"/>
      <c r="D23" s="252"/>
      <c r="E23" s="252"/>
      <c r="F23" s="252"/>
      <c r="G23" s="252"/>
      <c r="H23" s="252"/>
      <c r="I23" s="293"/>
      <c r="J23" s="295"/>
      <c r="K23" s="295"/>
      <c r="L23" s="13"/>
      <c r="M23" s="28" t="s">
        <v>39</v>
      </c>
      <c r="N23" s="13">
        <f t="shared" si="4"/>
        <v>0</v>
      </c>
      <c r="O23" s="20">
        <f t="shared" si="3"/>
        <v>0</v>
      </c>
      <c r="P23" s="13"/>
      <c r="Q23" s="13"/>
      <c r="R23" s="13"/>
      <c r="S23" s="13"/>
      <c r="T23" s="13"/>
      <c r="U23" s="13"/>
      <c r="V23" s="13"/>
      <c r="W23" s="13"/>
      <c r="X23" s="13">
        <f t="shared" si="5"/>
        <v>0</v>
      </c>
      <c r="Y23" s="13"/>
      <c r="Z23" s="13"/>
      <c r="AA23" s="13"/>
      <c r="AB23" s="13"/>
      <c r="AC23" s="13">
        <f t="shared" si="6"/>
        <v>0</v>
      </c>
      <c r="AD23" s="13"/>
      <c r="AE23" s="13"/>
      <c r="AF23" s="13"/>
      <c r="AG23" s="13"/>
      <c r="AH23" s="13">
        <f t="shared" si="7"/>
        <v>0</v>
      </c>
      <c r="AI23" s="13"/>
      <c r="AJ23" s="13"/>
      <c r="AK23" s="13"/>
      <c r="AL23" s="13"/>
      <c r="AM23" s="13">
        <f t="shared" si="8"/>
        <v>0</v>
      </c>
      <c r="AN23" s="13"/>
      <c r="AO23" s="13"/>
      <c r="AP23" s="13"/>
      <c r="AQ23" s="13"/>
    </row>
    <row r="24" spans="1:43" ht="35.1" customHeight="1" thickBot="1">
      <c r="A24" s="14"/>
      <c r="B24" s="22"/>
      <c r="C24" s="243"/>
      <c r="D24" s="243"/>
      <c r="E24" s="243"/>
      <c r="F24" s="243"/>
      <c r="G24" s="247"/>
      <c r="H24" s="243"/>
      <c r="I24" s="293"/>
      <c r="J24" s="295"/>
      <c r="K24" s="295"/>
      <c r="L24" s="13"/>
      <c r="M24" s="28" t="s">
        <v>57</v>
      </c>
      <c r="N24" s="13">
        <f t="shared" si="4"/>
        <v>150</v>
      </c>
      <c r="O24" s="13">
        <f t="shared" si="3"/>
        <v>104.3</v>
      </c>
      <c r="P24" s="13"/>
      <c r="Q24" s="13"/>
      <c r="R24" s="13"/>
      <c r="S24" s="13"/>
      <c r="T24" s="13"/>
      <c r="U24" s="13"/>
      <c r="V24" s="13">
        <f>100+50</f>
        <v>150</v>
      </c>
      <c r="W24" s="13">
        <v>104.3</v>
      </c>
      <c r="X24" s="13">
        <f t="shared" si="5"/>
        <v>67</v>
      </c>
      <c r="Y24" s="13"/>
      <c r="Z24" s="13"/>
      <c r="AA24" s="13"/>
      <c r="AB24" s="13">
        <v>67</v>
      </c>
      <c r="AC24" s="13">
        <f t="shared" si="6"/>
        <v>67</v>
      </c>
      <c r="AD24" s="13"/>
      <c r="AE24" s="13"/>
      <c r="AF24" s="13"/>
      <c r="AG24" s="13">
        <v>67</v>
      </c>
      <c r="AH24" s="13">
        <f t="shared" si="7"/>
        <v>67</v>
      </c>
      <c r="AI24" s="13"/>
      <c r="AJ24" s="13"/>
      <c r="AK24" s="13"/>
      <c r="AL24" s="13">
        <v>67</v>
      </c>
      <c r="AM24" s="13">
        <f t="shared" si="8"/>
        <v>67</v>
      </c>
      <c r="AN24" s="13"/>
      <c r="AO24" s="13"/>
      <c r="AP24" s="13"/>
      <c r="AQ24" s="13">
        <v>67</v>
      </c>
    </row>
    <row r="25" spans="1:43" ht="35.1" customHeight="1" thickBot="1">
      <c r="A25" s="14"/>
      <c r="B25" s="22"/>
      <c r="C25" s="199"/>
      <c r="D25" s="207"/>
      <c r="E25" s="207"/>
      <c r="F25" s="13"/>
      <c r="G25" s="13"/>
      <c r="H25" s="13"/>
      <c r="I25" s="293"/>
      <c r="J25" s="295"/>
      <c r="K25" s="295"/>
      <c r="L25" s="13"/>
      <c r="M25" s="28" t="s">
        <v>58</v>
      </c>
      <c r="N25" s="13">
        <f>P25+R25+V25</f>
        <v>50</v>
      </c>
      <c r="O25" s="13">
        <f t="shared" si="3"/>
        <v>7.3</v>
      </c>
      <c r="P25" s="13"/>
      <c r="Q25" s="13"/>
      <c r="R25" s="13"/>
      <c r="S25" s="13"/>
      <c r="T25" s="13"/>
      <c r="U25" s="13"/>
      <c r="V25" s="13">
        <v>50</v>
      </c>
      <c r="W25" s="13">
        <v>7.3</v>
      </c>
      <c r="X25" s="13">
        <f t="shared" si="5"/>
        <v>0</v>
      </c>
      <c r="Y25" s="13"/>
      <c r="Z25" s="13"/>
      <c r="AA25" s="13"/>
      <c r="AB25" s="13">
        <v>0</v>
      </c>
      <c r="AC25" s="13">
        <f t="shared" si="6"/>
        <v>0</v>
      </c>
      <c r="AD25" s="13"/>
      <c r="AE25" s="13"/>
      <c r="AF25" s="13"/>
      <c r="AG25" s="13">
        <v>0</v>
      </c>
      <c r="AH25" s="13">
        <f t="shared" si="7"/>
        <v>0</v>
      </c>
      <c r="AI25" s="13"/>
      <c r="AJ25" s="13"/>
      <c r="AK25" s="13"/>
      <c r="AL25" s="13">
        <v>0</v>
      </c>
      <c r="AM25" s="13">
        <f t="shared" si="8"/>
        <v>0</v>
      </c>
      <c r="AN25" s="13"/>
      <c r="AO25" s="13"/>
      <c r="AP25" s="13"/>
      <c r="AQ25" s="13">
        <v>0</v>
      </c>
    </row>
    <row r="26" spans="1:43" ht="35.1" customHeight="1" thickBot="1">
      <c r="A26" s="14"/>
      <c r="B26" s="22"/>
      <c r="C26" s="199"/>
      <c r="D26" s="207"/>
      <c r="E26" s="207"/>
      <c r="F26" s="13"/>
      <c r="G26" s="13"/>
      <c r="H26" s="13"/>
      <c r="I26" s="293"/>
      <c r="J26" s="295"/>
      <c r="K26" s="295"/>
      <c r="L26" s="13"/>
      <c r="M26" s="28" t="s">
        <v>38</v>
      </c>
      <c r="N26" s="13">
        <f t="shared" si="4"/>
        <v>460</v>
      </c>
      <c r="O26" s="13">
        <f t="shared" si="3"/>
        <v>327.3</v>
      </c>
      <c r="P26" s="13"/>
      <c r="Q26" s="13"/>
      <c r="R26" s="13"/>
      <c r="S26" s="13"/>
      <c r="T26" s="13"/>
      <c r="U26" s="13"/>
      <c r="V26" s="13">
        <f>300+160</f>
        <v>460</v>
      </c>
      <c r="W26" s="13">
        <v>327.3</v>
      </c>
      <c r="X26" s="13">
        <f t="shared" si="5"/>
        <v>333</v>
      </c>
      <c r="Y26" s="13"/>
      <c r="Z26" s="13"/>
      <c r="AA26" s="13"/>
      <c r="AB26" s="13">
        <v>333</v>
      </c>
      <c r="AC26" s="13">
        <f t="shared" si="6"/>
        <v>333</v>
      </c>
      <c r="AD26" s="13"/>
      <c r="AE26" s="13"/>
      <c r="AF26" s="13"/>
      <c r="AG26" s="13">
        <v>333</v>
      </c>
      <c r="AH26" s="13">
        <f>AI26+AJ26+AK26+AL26</f>
        <v>333</v>
      </c>
      <c r="AI26" s="13"/>
      <c r="AJ26" s="13"/>
      <c r="AK26" s="13"/>
      <c r="AL26" s="13">
        <v>333</v>
      </c>
      <c r="AM26" s="13">
        <f>AN26+AO26+AP26+AQ26</f>
        <v>333</v>
      </c>
      <c r="AN26" s="13"/>
      <c r="AO26" s="13"/>
      <c r="AP26" s="13"/>
      <c r="AQ26" s="13">
        <v>333</v>
      </c>
    </row>
    <row r="27" spans="1:43" ht="35.1" customHeight="1" thickBot="1">
      <c r="A27" s="14"/>
      <c r="B27" s="22"/>
      <c r="C27" s="199"/>
      <c r="D27" s="207"/>
      <c r="E27" s="207"/>
      <c r="F27" s="13"/>
      <c r="G27" s="13"/>
      <c r="H27" s="13"/>
      <c r="I27" s="294"/>
      <c r="J27" s="296"/>
      <c r="K27" s="296"/>
      <c r="L27" s="13"/>
      <c r="M27" s="28" t="s">
        <v>59</v>
      </c>
      <c r="N27" s="13">
        <f t="shared" si="4"/>
        <v>180</v>
      </c>
      <c r="O27" s="13">
        <f t="shared" si="3"/>
        <v>180</v>
      </c>
      <c r="P27" s="13"/>
      <c r="Q27" s="13"/>
      <c r="R27" s="13"/>
      <c r="S27" s="13"/>
      <c r="T27" s="13"/>
      <c r="U27" s="13"/>
      <c r="V27" s="13">
        <v>180</v>
      </c>
      <c r="W27" s="13">
        <v>180</v>
      </c>
      <c r="X27" s="13">
        <f t="shared" si="5"/>
        <v>0</v>
      </c>
      <c r="Y27" s="13"/>
      <c r="Z27" s="13"/>
      <c r="AA27" s="13"/>
      <c r="AB27" s="13">
        <v>0</v>
      </c>
      <c r="AC27" s="13">
        <f t="shared" si="6"/>
        <v>0</v>
      </c>
      <c r="AD27" s="13"/>
      <c r="AE27" s="13"/>
      <c r="AF27" s="13"/>
      <c r="AG27" s="13">
        <v>0</v>
      </c>
      <c r="AH27" s="13">
        <f>AI27+AJ27+AK27+AL27</f>
        <v>0</v>
      </c>
      <c r="AI27" s="13"/>
      <c r="AJ27" s="13"/>
      <c r="AK27" s="13"/>
      <c r="AL27" s="13">
        <v>0</v>
      </c>
      <c r="AM27" s="13">
        <f>AN27+AO27+AP27+AQ27</f>
        <v>0</v>
      </c>
      <c r="AN27" s="13"/>
      <c r="AO27" s="13"/>
      <c r="AP27" s="13"/>
      <c r="AQ27" s="13">
        <v>0</v>
      </c>
    </row>
    <row r="28" spans="1:43" ht="35.1" customHeight="1" thickBot="1">
      <c r="A28" s="14"/>
      <c r="B28" s="29"/>
      <c r="C28" s="29" t="s">
        <v>60</v>
      </c>
      <c r="D28" s="29" t="s">
        <v>61</v>
      </c>
      <c r="E28" s="29" t="s">
        <v>62</v>
      </c>
      <c r="F28" s="13"/>
      <c r="G28" s="13"/>
      <c r="H28" s="13"/>
      <c r="I28" s="30" t="s">
        <v>63</v>
      </c>
      <c r="J28" s="29" t="s">
        <v>64</v>
      </c>
      <c r="K28" s="29" t="s">
        <v>823</v>
      </c>
      <c r="L28" s="13"/>
      <c r="M28" s="24" t="s">
        <v>65</v>
      </c>
      <c r="N28" s="13">
        <f t="shared" si="4"/>
        <v>15013.5</v>
      </c>
      <c r="O28" s="20">
        <f t="shared" si="3"/>
        <v>13.6</v>
      </c>
      <c r="P28" s="13"/>
      <c r="Q28" s="13"/>
      <c r="R28" s="13"/>
      <c r="S28" s="13"/>
      <c r="T28" s="13"/>
      <c r="U28" s="13"/>
      <c r="V28" s="13">
        <f>5000+10000+13.5</f>
        <v>15013.5</v>
      </c>
      <c r="W28" s="13">
        <v>13.6</v>
      </c>
      <c r="X28" s="13">
        <f t="shared" si="5"/>
        <v>0</v>
      </c>
      <c r="Y28" s="13"/>
      <c r="Z28" s="13"/>
      <c r="AA28" s="13"/>
      <c r="AB28" s="13">
        <v>0</v>
      </c>
      <c r="AC28" s="13">
        <f t="shared" si="6"/>
        <v>0</v>
      </c>
      <c r="AD28" s="13"/>
      <c r="AE28" s="13"/>
      <c r="AF28" s="13"/>
      <c r="AG28" s="13">
        <v>0</v>
      </c>
      <c r="AH28" s="13">
        <f>AI28+AJ28+AK28+AL28</f>
        <v>0</v>
      </c>
      <c r="AI28" s="13"/>
      <c r="AJ28" s="13"/>
      <c r="AK28" s="13"/>
      <c r="AL28" s="13">
        <v>0</v>
      </c>
      <c r="AM28" s="13">
        <f>AN28+AO28+AP28+AQ28</f>
        <v>0</v>
      </c>
      <c r="AN28" s="13"/>
      <c r="AO28" s="13"/>
      <c r="AP28" s="13"/>
      <c r="AQ28" s="13">
        <v>0</v>
      </c>
    </row>
    <row r="29" spans="1:43" ht="35.1" customHeight="1" thickBot="1">
      <c r="A29" s="17" t="s">
        <v>66</v>
      </c>
      <c r="B29" s="18">
        <v>2505</v>
      </c>
      <c r="C29" s="19"/>
      <c r="D29" s="20"/>
      <c r="E29" s="20"/>
      <c r="F29" s="20"/>
      <c r="G29" s="20"/>
      <c r="H29" s="20"/>
      <c r="I29" s="20"/>
      <c r="J29" s="20"/>
      <c r="K29" s="20"/>
      <c r="L29" s="20">
        <v>19</v>
      </c>
      <c r="M29" s="20"/>
      <c r="N29" s="20">
        <f t="shared" ref="N29:AQ29" si="9">N30+N33+N31+N32+N34+N35+N36</f>
        <v>81070.200000000012</v>
      </c>
      <c r="O29" s="20">
        <f t="shared" si="9"/>
        <v>68353.700000000012</v>
      </c>
      <c r="P29" s="20">
        <f t="shared" si="9"/>
        <v>0</v>
      </c>
      <c r="Q29" s="20">
        <f t="shared" si="9"/>
        <v>0</v>
      </c>
      <c r="R29" s="20">
        <f t="shared" si="9"/>
        <v>50905.4</v>
      </c>
      <c r="S29" s="20">
        <f t="shared" si="9"/>
        <v>39884.9</v>
      </c>
      <c r="T29" s="20">
        <f t="shared" si="9"/>
        <v>0</v>
      </c>
      <c r="U29" s="20">
        <f t="shared" si="9"/>
        <v>0</v>
      </c>
      <c r="V29" s="20">
        <f t="shared" si="9"/>
        <v>30164.800000000003</v>
      </c>
      <c r="W29" s="20">
        <f t="shared" si="9"/>
        <v>28468.799999999999</v>
      </c>
      <c r="X29" s="20">
        <f t="shared" si="9"/>
        <v>27827.3</v>
      </c>
      <c r="Y29" s="20">
        <f t="shared" si="9"/>
        <v>0</v>
      </c>
      <c r="Z29" s="20">
        <f t="shared" si="9"/>
        <v>0</v>
      </c>
      <c r="AA29" s="20">
        <f t="shared" si="9"/>
        <v>0</v>
      </c>
      <c r="AB29" s="20">
        <f t="shared" si="9"/>
        <v>27827.3</v>
      </c>
      <c r="AC29" s="20">
        <f t="shared" si="9"/>
        <v>27827.3</v>
      </c>
      <c r="AD29" s="20">
        <f t="shared" si="9"/>
        <v>0</v>
      </c>
      <c r="AE29" s="20">
        <f t="shared" si="9"/>
        <v>0</v>
      </c>
      <c r="AF29" s="20">
        <f t="shared" si="9"/>
        <v>0</v>
      </c>
      <c r="AG29" s="20">
        <f t="shared" si="9"/>
        <v>27827.3</v>
      </c>
      <c r="AH29" s="20">
        <f t="shared" si="9"/>
        <v>27827.3</v>
      </c>
      <c r="AI29" s="20">
        <f t="shared" si="9"/>
        <v>0</v>
      </c>
      <c r="AJ29" s="20">
        <f t="shared" si="9"/>
        <v>0</v>
      </c>
      <c r="AK29" s="20">
        <f t="shared" si="9"/>
        <v>0</v>
      </c>
      <c r="AL29" s="20">
        <f t="shared" si="9"/>
        <v>27827.3</v>
      </c>
      <c r="AM29" s="20">
        <f t="shared" si="9"/>
        <v>27827.3</v>
      </c>
      <c r="AN29" s="20">
        <f t="shared" si="9"/>
        <v>0</v>
      </c>
      <c r="AO29" s="20">
        <f t="shared" si="9"/>
        <v>0</v>
      </c>
      <c r="AP29" s="20">
        <f t="shared" si="9"/>
        <v>0</v>
      </c>
      <c r="AQ29" s="20">
        <f t="shared" si="9"/>
        <v>27827.3</v>
      </c>
    </row>
    <row r="30" spans="1:43" ht="35.1" customHeight="1" thickBot="1">
      <c r="A30" s="14"/>
      <c r="B30" s="22"/>
      <c r="C30" s="209" t="s">
        <v>850</v>
      </c>
      <c r="D30" s="211" t="s">
        <v>32</v>
      </c>
      <c r="E30" s="211" t="s">
        <v>33</v>
      </c>
      <c r="F30" s="232" t="s">
        <v>891</v>
      </c>
      <c r="G30" s="45" t="s">
        <v>97</v>
      </c>
      <c r="H30" s="178" t="s">
        <v>892</v>
      </c>
      <c r="I30" s="26" t="s">
        <v>721</v>
      </c>
      <c r="J30" s="26" t="s">
        <v>862</v>
      </c>
      <c r="K30" s="27" t="s">
        <v>717</v>
      </c>
      <c r="L30" s="13"/>
      <c r="M30" s="24" t="s">
        <v>68</v>
      </c>
      <c r="N30" s="13">
        <f t="shared" ref="N30:N36" si="10">P30+R30+T30+V30</f>
        <v>12122.5</v>
      </c>
      <c r="O30" s="13">
        <f t="shared" ref="O30:O39" si="11">+Q30+S30+U30+W30</f>
        <v>12087.5</v>
      </c>
      <c r="P30" s="13"/>
      <c r="Q30" s="13"/>
      <c r="R30" s="13">
        <v>12098.1</v>
      </c>
      <c r="S30" s="13">
        <v>12063.1</v>
      </c>
      <c r="T30" s="13"/>
      <c r="U30" s="13"/>
      <c r="V30" s="13">
        <v>24.4</v>
      </c>
      <c r="W30" s="13">
        <v>24.4</v>
      </c>
      <c r="X30" s="13">
        <f t="shared" ref="X30:X37" si="12">Y30+Z30+AA30+AB30</f>
        <v>0</v>
      </c>
      <c r="Y30" s="13"/>
      <c r="Z30" s="13"/>
      <c r="AA30" s="13"/>
      <c r="AB30" s="13">
        <v>0</v>
      </c>
      <c r="AC30" s="13">
        <f>AD30+AE30+AF30+AG30</f>
        <v>0</v>
      </c>
      <c r="AD30" s="13"/>
      <c r="AE30" s="13"/>
      <c r="AF30" s="13"/>
      <c r="AG30" s="13">
        <v>0</v>
      </c>
      <c r="AH30" s="13">
        <f>AI30+AJ30+AL30</f>
        <v>0</v>
      </c>
      <c r="AI30" s="13"/>
      <c r="AJ30" s="13"/>
      <c r="AK30" s="13"/>
      <c r="AL30" s="13">
        <v>0</v>
      </c>
      <c r="AM30" s="13">
        <f>AN30+AO30+AQ30</f>
        <v>0</v>
      </c>
      <c r="AN30" s="13"/>
      <c r="AO30" s="13"/>
      <c r="AP30" s="13"/>
      <c r="AQ30" s="13">
        <v>0</v>
      </c>
    </row>
    <row r="31" spans="1:43" ht="35.1" customHeight="1" thickBot="1">
      <c r="A31" s="14"/>
      <c r="B31" s="22"/>
      <c r="C31" s="210"/>
      <c r="D31" s="212"/>
      <c r="E31" s="212"/>
      <c r="F31" s="253"/>
      <c r="G31" s="254"/>
      <c r="H31" s="254"/>
      <c r="I31" s="252"/>
      <c r="J31" s="252"/>
      <c r="K31" s="252"/>
      <c r="L31" s="13"/>
      <c r="M31" s="24" t="s">
        <v>69</v>
      </c>
      <c r="N31" s="13">
        <f t="shared" si="10"/>
        <v>595</v>
      </c>
      <c r="O31" s="13">
        <f t="shared" si="11"/>
        <v>595</v>
      </c>
      <c r="P31" s="13"/>
      <c r="Q31" s="13"/>
      <c r="R31" s="13"/>
      <c r="S31" s="13"/>
      <c r="T31" s="13"/>
      <c r="U31" s="13"/>
      <c r="V31" s="13">
        <v>595</v>
      </c>
      <c r="W31" s="13">
        <v>595</v>
      </c>
      <c r="X31" s="13">
        <f t="shared" si="12"/>
        <v>0</v>
      </c>
      <c r="Y31" s="13"/>
      <c r="Z31" s="13"/>
      <c r="AA31" s="13"/>
      <c r="AB31" s="13">
        <v>0</v>
      </c>
      <c r="AC31" s="13">
        <f t="shared" ref="AC31:AC33" si="13">AD31+AE31+AF31+AG31</f>
        <v>0</v>
      </c>
      <c r="AD31" s="13"/>
      <c r="AE31" s="13"/>
      <c r="AF31" s="13"/>
      <c r="AG31" s="13">
        <v>0</v>
      </c>
      <c r="AH31" s="13">
        <f t="shared" ref="AH31:AH33" si="14">AI31+AJ31+AL31</f>
        <v>0</v>
      </c>
      <c r="AI31" s="13"/>
      <c r="AJ31" s="13"/>
      <c r="AK31" s="13"/>
      <c r="AL31" s="13">
        <v>0</v>
      </c>
      <c r="AM31" s="13">
        <f t="shared" ref="AM31:AM33" si="15">AN31+AO31+AQ31</f>
        <v>0</v>
      </c>
      <c r="AN31" s="13"/>
      <c r="AO31" s="13"/>
      <c r="AP31" s="13"/>
      <c r="AQ31" s="13">
        <v>0</v>
      </c>
    </row>
    <row r="32" spans="1:43" ht="35.1" customHeight="1" thickBot="1">
      <c r="A32" s="14"/>
      <c r="B32" s="22"/>
      <c r="C32" s="210"/>
      <c r="D32" s="212"/>
      <c r="E32" s="212"/>
      <c r="F32" s="45" t="s">
        <v>691</v>
      </c>
      <c r="G32" s="45" t="s">
        <v>97</v>
      </c>
      <c r="H32" s="178">
        <v>45791</v>
      </c>
      <c r="I32" s="45" t="s">
        <v>692</v>
      </c>
      <c r="J32" s="13" t="s">
        <v>97</v>
      </c>
      <c r="K32" s="24" t="s">
        <v>693</v>
      </c>
      <c r="L32" s="13"/>
      <c r="M32" s="24" t="s">
        <v>70</v>
      </c>
      <c r="N32" s="13">
        <f t="shared" si="10"/>
        <v>39002.300000000003</v>
      </c>
      <c r="O32" s="13">
        <f t="shared" si="11"/>
        <v>27961.599999999999</v>
      </c>
      <c r="P32" s="13"/>
      <c r="Q32" s="13"/>
      <c r="R32" s="13">
        <v>38807.300000000003</v>
      </c>
      <c r="S32" s="13">
        <v>27821.8</v>
      </c>
      <c r="T32" s="13"/>
      <c r="U32" s="13"/>
      <c r="V32" s="13">
        <v>195</v>
      </c>
      <c r="W32" s="13">
        <v>139.80000000000001</v>
      </c>
      <c r="X32" s="13">
        <f t="shared" si="12"/>
        <v>0</v>
      </c>
      <c r="Y32" s="13"/>
      <c r="Z32" s="13">
        <v>0</v>
      </c>
      <c r="AA32" s="13"/>
      <c r="AB32" s="13">
        <v>0</v>
      </c>
      <c r="AC32" s="13">
        <f t="shared" si="13"/>
        <v>0</v>
      </c>
      <c r="AD32" s="13"/>
      <c r="AE32" s="13"/>
      <c r="AF32" s="13"/>
      <c r="AG32" s="13">
        <v>0</v>
      </c>
      <c r="AH32" s="13">
        <f t="shared" si="14"/>
        <v>0</v>
      </c>
      <c r="AI32" s="13"/>
      <c r="AJ32" s="13"/>
      <c r="AK32" s="13"/>
      <c r="AL32" s="13">
        <v>0</v>
      </c>
      <c r="AM32" s="13">
        <f t="shared" si="15"/>
        <v>0</v>
      </c>
      <c r="AN32" s="13"/>
      <c r="AO32" s="13"/>
      <c r="AP32" s="13"/>
      <c r="AQ32" s="13">
        <v>0</v>
      </c>
    </row>
    <row r="33" spans="1:43" ht="35.1" customHeight="1" thickBot="1">
      <c r="A33" s="14"/>
      <c r="B33" s="22"/>
      <c r="C33" s="210"/>
      <c r="D33" s="212"/>
      <c r="E33" s="212"/>
      <c r="F33" s="253"/>
      <c r="G33" s="254"/>
      <c r="H33" s="254"/>
      <c r="I33" s="26"/>
      <c r="J33" s="13"/>
      <c r="K33" s="13"/>
      <c r="L33" s="13"/>
      <c r="M33" s="24" t="s">
        <v>71</v>
      </c>
      <c r="N33" s="13">
        <f t="shared" si="10"/>
        <v>200</v>
      </c>
      <c r="O33" s="13">
        <f t="shared" si="11"/>
        <v>0</v>
      </c>
      <c r="P33" s="13"/>
      <c r="Q33" s="13"/>
      <c r="R33" s="13"/>
      <c r="S33" s="13"/>
      <c r="T33" s="13"/>
      <c r="U33" s="13"/>
      <c r="V33" s="13">
        <v>200</v>
      </c>
      <c r="W33" s="13">
        <v>0</v>
      </c>
      <c r="X33" s="13">
        <f t="shared" si="12"/>
        <v>0</v>
      </c>
      <c r="Y33" s="13"/>
      <c r="Z33" s="13"/>
      <c r="AA33" s="13"/>
      <c r="AB33" s="13">
        <v>0</v>
      </c>
      <c r="AC33" s="13">
        <f t="shared" si="13"/>
        <v>0</v>
      </c>
      <c r="AD33" s="13"/>
      <c r="AE33" s="13"/>
      <c r="AF33" s="13"/>
      <c r="AG33" s="13">
        <v>0</v>
      </c>
      <c r="AH33" s="13">
        <f t="shared" si="14"/>
        <v>0</v>
      </c>
      <c r="AI33" s="13"/>
      <c r="AJ33" s="13"/>
      <c r="AK33" s="13"/>
      <c r="AL33" s="13">
        <v>0</v>
      </c>
      <c r="AM33" s="13">
        <f t="shared" si="15"/>
        <v>0</v>
      </c>
      <c r="AN33" s="13"/>
      <c r="AO33" s="13"/>
      <c r="AP33" s="13"/>
      <c r="AQ33" s="13">
        <v>0</v>
      </c>
    </row>
    <row r="34" spans="1:43" ht="35.1" customHeight="1" thickBot="1">
      <c r="A34" s="14"/>
      <c r="B34" s="22"/>
      <c r="C34" s="32"/>
      <c r="D34" s="13"/>
      <c r="E34" s="13"/>
      <c r="F34" s="253"/>
      <c r="G34" s="254"/>
      <c r="H34" s="254"/>
      <c r="I34" s="291" t="s">
        <v>721</v>
      </c>
      <c r="J34" s="291" t="s">
        <v>862</v>
      </c>
      <c r="K34" s="297" t="s">
        <v>717</v>
      </c>
      <c r="L34" s="13"/>
      <c r="M34" s="24" t="s">
        <v>72</v>
      </c>
      <c r="N34" s="13">
        <f t="shared" si="10"/>
        <v>7920.8</v>
      </c>
      <c r="O34" s="13">
        <f t="shared" si="11"/>
        <v>7920.8</v>
      </c>
      <c r="P34" s="13"/>
      <c r="Q34" s="13"/>
      <c r="R34" s="13"/>
      <c r="S34" s="13"/>
      <c r="T34" s="13"/>
      <c r="U34" s="13"/>
      <c r="V34" s="13">
        <f>3000+3600+200+520.8+600</f>
        <v>7920.8</v>
      </c>
      <c r="W34" s="13">
        <v>7920.8</v>
      </c>
      <c r="X34" s="13">
        <f t="shared" si="12"/>
        <v>4500</v>
      </c>
      <c r="Y34" s="13"/>
      <c r="Z34" s="13"/>
      <c r="AA34" s="13"/>
      <c r="AB34" s="13">
        <v>4500</v>
      </c>
      <c r="AC34" s="13">
        <f>AD34+AE34+AG34</f>
        <v>4500</v>
      </c>
      <c r="AD34" s="13"/>
      <c r="AE34" s="13"/>
      <c r="AF34" s="13"/>
      <c r="AG34" s="13">
        <v>4500</v>
      </c>
      <c r="AH34" s="13">
        <f>AI34+AJ34+AL34</f>
        <v>4500</v>
      </c>
      <c r="AI34" s="13"/>
      <c r="AJ34" s="13"/>
      <c r="AK34" s="13"/>
      <c r="AL34" s="13">
        <v>4500</v>
      </c>
      <c r="AM34" s="13">
        <f>AN34+AO34+AQ34</f>
        <v>4500</v>
      </c>
      <c r="AN34" s="13"/>
      <c r="AO34" s="13"/>
      <c r="AP34" s="13"/>
      <c r="AQ34" s="13">
        <v>4500</v>
      </c>
    </row>
    <row r="35" spans="1:43" ht="35.1" customHeight="1" thickBot="1">
      <c r="A35" s="14"/>
      <c r="B35" s="22"/>
      <c r="C35" s="32"/>
      <c r="D35" s="13"/>
      <c r="E35" s="13"/>
      <c r="F35" s="253"/>
      <c r="G35" s="254"/>
      <c r="H35" s="254"/>
      <c r="I35" s="295"/>
      <c r="J35" s="295"/>
      <c r="K35" s="295"/>
      <c r="L35" s="13"/>
      <c r="M35" s="24" t="s">
        <v>73</v>
      </c>
      <c r="N35" s="13">
        <f t="shared" si="10"/>
        <v>21029.600000000002</v>
      </c>
      <c r="O35" s="13">
        <f t="shared" si="11"/>
        <v>19603.2</v>
      </c>
      <c r="P35" s="13"/>
      <c r="Q35" s="13"/>
      <c r="R35" s="13"/>
      <c r="S35" s="13"/>
      <c r="T35" s="13"/>
      <c r="U35" s="13"/>
      <c r="V35" s="13">
        <f>18300+1604.9+1124.7</f>
        <v>21029.600000000002</v>
      </c>
      <c r="W35" s="13">
        <v>19603.2</v>
      </c>
      <c r="X35" s="13">
        <f t="shared" si="12"/>
        <v>23327.3</v>
      </c>
      <c r="Y35" s="13"/>
      <c r="Z35" s="13"/>
      <c r="AA35" s="13"/>
      <c r="AB35" s="13">
        <v>23327.3</v>
      </c>
      <c r="AC35" s="13">
        <f>AD35+AE35+AG35</f>
        <v>23327.3</v>
      </c>
      <c r="AD35" s="13"/>
      <c r="AE35" s="13"/>
      <c r="AF35" s="13"/>
      <c r="AG35" s="13">
        <v>23327.3</v>
      </c>
      <c r="AH35" s="13">
        <f>AI35+AJ35+AL35</f>
        <v>23327.3</v>
      </c>
      <c r="AI35" s="13"/>
      <c r="AJ35" s="13"/>
      <c r="AK35" s="13"/>
      <c r="AL35" s="13">
        <v>23327.3</v>
      </c>
      <c r="AM35" s="13">
        <f>AN35+AO35+AQ35</f>
        <v>23327.3</v>
      </c>
      <c r="AN35" s="13"/>
      <c r="AO35" s="13"/>
      <c r="AP35" s="13"/>
      <c r="AQ35" s="13">
        <v>23327.3</v>
      </c>
    </row>
    <row r="36" spans="1:43" ht="35.1" customHeight="1" thickBot="1">
      <c r="A36" s="14"/>
      <c r="B36" s="22"/>
      <c r="C36" s="32"/>
      <c r="D36" s="13"/>
      <c r="E36" s="13"/>
      <c r="F36" s="253"/>
      <c r="G36" s="254"/>
      <c r="H36" s="254"/>
      <c r="I36" s="296"/>
      <c r="J36" s="296"/>
      <c r="K36" s="296"/>
      <c r="L36" s="13"/>
      <c r="M36" s="24" t="s">
        <v>74</v>
      </c>
      <c r="N36" s="13">
        <f t="shared" si="10"/>
        <v>200</v>
      </c>
      <c r="O36" s="13">
        <f t="shared" si="11"/>
        <v>185.6</v>
      </c>
      <c r="P36" s="13"/>
      <c r="Q36" s="13"/>
      <c r="R36" s="13"/>
      <c r="S36" s="13"/>
      <c r="T36" s="13"/>
      <c r="U36" s="13"/>
      <c r="V36" s="13">
        <v>200</v>
      </c>
      <c r="W36" s="13">
        <v>185.6</v>
      </c>
      <c r="X36" s="13">
        <f t="shared" si="12"/>
        <v>0</v>
      </c>
      <c r="Y36" s="13"/>
      <c r="Z36" s="13"/>
      <c r="AA36" s="13"/>
      <c r="AB36" s="13">
        <v>0</v>
      </c>
      <c r="AC36" s="13">
        <f>AD36+AE36+AG36</f>
        <v>0</v>
      </c>
      <c r="AD36" s="13"/>
      <c r="AE36" s="13"/>
      <c r="AF36" s="13"/>
      <c r="AG36" s="13">
        <v>0</v>
      </c>
      <c r="AH36" s="13">
        <f>AI36+AJ36+AL36</f>
        <v>0</v>
      </c>
      <c r="AI36" s="13"/>
      <c r="AJ36" s="13"/>
      <c r="AK36" s="13"/>
      <c r="AL36" s="13">
        <v>0</v>
      </c>
      <c r="AM36" s="13">
        <f>AN36+AO36+AQ36</f>
        <v>0</v>
      </c>
      <c r="AN36" s="13"/>
      <c r="AO36" s="13"/>
      <c r="AP36" s="13"/>
      <c r="AQ36" s="13">
        <v>0</v>
      </c>
    </row>
    <row r="37" spans="1:43" ht="35.1" hidden="1" customHeight="1" thickBot="1">
      <c r="A37" s="14"/>
      <c r="B37" s="22"/>
      <c r="C37" s="32"/>
      <c r="D37" s="13"/>
      <c r="E37" s="13"/>
      <c r="F37" s="253"/>
      <c r="G37" s="254"/>
      <c r="H37" s="254"/>
      <c r="I37" s="26"/>
      <c r="J37" s="26"/>
      <c r="K37" s="27"/>
      <c r="L37" s="13"/>
      <c r="M37" s="24" t="s">
        <v>75</v>
      </c>
      <c r="N37" s="13"/>
      <c r="O37" s="20"/>
      <c r="P37" s="13"/>
      <c r="Q37" s="13"/>
      <c r="R37" s="13"/>
      <c r="S37" s="13"/>
      <c r="T37" s="13"/>
      <c r="U37" s="13"/>
      <c r="V37" s="13"/>
      <c r="W37" s="13"/>
      <c r="X37" s="13">
        <f t="shared" si="12"/>
        <v>0</v>
      </c>
      <c r="Y37" s="13"/>
      <c r="Z37" s="13"/>
      <c r="AA37" s="13"/>
      <c r="AB37" s="13">
        <f>500-400-100</f>
        <v>0</v>
      </c>
      <c r="AC37" s="13"/>
      <c r="AD37" s="13"/>
      <c r="AE37" s="13"/>
      <c r="AF37" s="13"/>
      <c r="AG37" s="13"/>
      <c r="AH37" s="13"/>
      <c r="AI37" s="13"/>
      <c r="AJ37" s="13"/>
      <c r="AK37" s="13"/>
      <c r="AL37" s="13"/>
      <c r="AM37" s="13"/>
      <c r="AN37" s="13"/>
      <c r="AO37" s="13"/>
      <c r="AP37" s="13"/>
      <c r="AQ37" s="13"/>
    </row>
    <row r="38" spans="1:43" ht="35.1" hidden="1" customHeight="1" thickBot="1">
      <c r="A38" s="14"/>
      <c r="B38" s="22"/>
      <c r="C38" s="307"/>
      <c r="D38" s="217"/>
      <c r="E38" s="216"/>
      <c r="F38" s="253"/>
      <c r="G38" s="254"/>
      <c r="H38" s="254"/>
      <c r="I38" s="207"/>
      <c r="J38" s="13"/>
      <c r="K38" s="13"/>
      <c r="L38" s="13"/>
      <c r="M38" s="24" t="s">
        <v>76</v>
      </c>
      <c r="N38" s="13"/>
      <c r="O38" s="13">
        <f t="shared" si="11"/>
        <v>0</v>
      </c>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row>
    <row r="39" spans="1:43" ht="35.1" hidden="1" customHeight="1" thickBot="1">
      <c r="A39" s="14"/>
      <c r="B39" s="22"/>
      <c r="C39" s="308"/>
      <c r="D39" s="240"/>
      <c r="E39" s="220"/>
      <c r="F39" s="253"/>
      <c r="G39" s="254"/>
      <c r="H39" s="254"/>
      <c r="I39" s="207"/>
      <c r="J39" s="13"/>
      <c r="K39" s="13"/>
      <c r="L39" s="13"/>
      <c r="M39" s="24" t="s">
        <v>77</v>
      </c>
      <c r="N39" s="13"/>
      <c r="O39" s="13">
        <f t="shared" si="11"/>
        <v>0</v>
      </c>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row>
    <row r="40" spans="1:43" ht="35.1" customHeight="1" thickBot="1">
      <c r="A40" s="17" t="s">
        <v>78</v>
      </c>
      <c r="B40" s="18">
        <v>2507</v>
      </c>
      <c r="C40" s="19"/>
      <c r="D40" s="20"/>
      <c r="E40" s="20"/>
      <c r="F40" s="20"/>
      <c r="G40" s="20"/>
      <c r="H40" s="20"/>
      <c r="I40" s="20"/>
      <c r="J40" s="20"/>
      <c r="K40" s="20"/>
      <c r="L40" s="20">
        <v>3</v>
      </c>
      <c r="M40" s="20"/>
      <c r="N40" s="20">
        <f>N42+N44+N45+N50+N46+N41+N43+N48+N47+N49</f>
        <v>239400.8</v>
      </c>
      <c r="O40" s="20">
        <f t="shared" ref="O40:AQ40" si="16">O42+O44+O45+O50+O46+O41+O43+O48+O47+O49</f>
        <v>188944.5</v>
      </c>
      <c r="P40" s="20">
        <f t="shared" si="16"/>
        <v>0</v>
      </c>
      <c r="Q40" s="20">
        <f t="shared" si="16"/>
        <v>0</v>
      </c>
      <c r="R40" s="20">
        <f t="shared" si="16"/>
        <v>187614.2</v>
      </c>
      <c r="S40" s="20">
        <f t="shared" si="16"/>
        <v>138144.6</v>
      </c>
      <c r="T40" s="20">
        <f t="shared" si="16"/>
        <v>0</v>
      </c>
      <c r="U40" s="20">
        <f t="shared" si="16"/>
        <v>0</v>
      </c>
      <c r="V40" s="20">
        <f t="shared" si="16"/>
        <v>51786.600000000006</v>
      </c>
      <c r="W40" s="20">
        <f t="shared" si="16"/>
        <v>50799.899999999994</v>
      </c>
      <c r="X40" s="20">
        <f t="shared" si="16"/>
        <v>47261</v>
      </c>
      <c r="Y40" s="20">
        <f t="shared" si="16"/>
        <v>0</v>
      </c>
      <c r="Z40" s="20">
        <f t="shared" si="16"/>
        <v>0</v>
      </c>
      <c r="AA40" s="20">
        <f t="shared" si="16"/>
        <v>0</v>
      </c>
      <c r="AB40" s="20">
        <f t="shared" si="16"/>
        <v>47261</v>
      </c>
      <c r="AC40" s="20">
        <f t="shared" si="16"/>
        <v>46923.6</v>
      </c>
      <c r="AD40" s="20">
        <f t="shared" si="16"/>
        <v>0</v>
      </c>
      <c r="AE40" s="20">
        <f t="shared" si="16"/>
        <v>0</v>
      </c>
      <c r="AF40" s="20">
        <f t="shared" si="16"/>
        <v>0</v>
      </c>
      <c r="AG40" s="20">
        <f t="shared" si="16"/>
        <v>46923.6</v>
      </c>
      <c r="AH40" s="20">
        <f t="shared" si="16"/>
        <v>46923.6</v>
      </c>
      <c r="AI40" s="20">
        <f t="shared" si="16"/>
        <v>0</v>
      </c>
      <c r="AJ40" s="20">
        <f t="shared" si="16"/>
        <v>0</v>
      </c>
      <c r="AK40" s="20">
        <f t="shared" si="16"/>
        <v>0</v>
      </c>
      <c r="AL40" s="20">
        <f t="shared" si="16"/>
        <v>46923.6</v>
      </c>
      <c r="AM40" s="20">
        <f t="shared" si="16"/>
        <v>46923.6</v>
      </c>
      <c r="AN40" s="20">
        <f t="shared" si="16"/>
        <v>0</v>
      </c>
      <c r="AO40" s="20">
        <f t="shared" si="16"/>
        <v>0</v>
      </c>
      <c r="AP40" s="20">
        <f t="shared" si="16"/>
        <v>0</v>
      </c>
      <c r="AQ40" s="20">
        <f t="shared" si="16"/>
        <v>46923.6</v>
      </c>
    </row>
    <row r="41" spans="1:43" ht="35.1" customHeight="1" thickBot="1">
      <c r="A41" s="14"/>
      <c r="B41" s="31"/>
      <c r="C41" s="23" t="s">
        <v>79</v>
      </c>
      <c r="D41" s="23" t="s">
        <v>80</v>
      </c>
      <c r="E41" s="23" t="s">
        <v>81</v>
      </c>
      <c r="F41" s="23" t="s">
        <v>82</v>
      </c>
      <c r="G41" s="23" t="s">
        <v>35</v>
      </c>
      <c r="H41" s="23" t="s">
        <v>83</v>
      </c>
      <c r="I41" s="45" t="s">
        <v>863</v>
      </c>
      <c r="J41" s="45" t="s">
        <v>97</v>
      </c>
      <c r="K41" s="179" t="s">
        <v>864</v>
      </c>
      <c r="L41" s="13"/>
      <c r="M41" s="24" t="s">
        <v>84</v>
      </c>
      <c r="N41" s="13">
        <f>P41+R41+T41+V41</f>
        <v>72518.399999999994</v>
      </c>
      <c r="O41" s="13">
        <f>Q41+S41+U41+W41</f>
        <v>43467.4</v>
      </c>
      <c r="P41" s="13"/>
      <c r="Q41" s="13"/>
      <c r="R41" s="13">
        <f>44719+27500</f>
        <v>72219</v>
      </c>
      <c r="S41" s="13">
        <v>43288</v>
      </c>
      <c r="T41" s="13"/>
      <c r="U41" s="13"/>
      <c r="V41" s="13">
        <v>299.39999999999998</v>
      </c>
      <c r="W41" s="13">
        <v>179.4</v>
      </c>
      <c r="X41" s="13">
        <f>Y41+Z41+AA41+AB41</f>
        <v>185.3</v>
      </c>
      <c r="Y41" s="13"/>
      <c r="Z41" s="13"/>
      <c r="AA41" s="13"/>
      <c r="AB41" s="13">
        <v>185.3</v>
      </c>
      <c r="AC41" s="13">
        <f t="shared" ref="AC41:AC49" si="17">AD41+AE41+AF41+AG41</f>
        <v>185.3</v>
      </c>
      <c r="AD41" s="13"/>
      <c r="AE41" s="13"/>
      <c r="AF41" s="13"/>
      <c r="AG41" s="13">
        <v>185.3</v>
      </c>
      <c r="AH41" s="13">
        <f>AI41+AJ41+AK41+AL41</f>
        <v>185.3</v>
      </c>
      <c r="AI41" s="13"/>
      <c r="AJ41" s="13"/>
      <c r="AK41" s="13"/>
      <c r="AL41" s="13">
        <v>185.3</v>
      </c>
      <c r="AM41" s="13">
        <f>AN41+AO41+AP41+AQ41</f>
        <v>185.3</v>
      </c>
      <c r="AN41" s="13"/>
      <c r="AO41" s="13"/>
      <c r="AP41" s="13"/>
      <c r="AQ41" s="13">
        <v>185.3</v>
      </c>
    </row>
    <row r="42" spans="1:43" ht="35.1" customHeight="1" thickBot="1">
      <c r="A42" s="14"/>
      <c r="B42" s="31"/>
      <c r="C42" s="200"/>
      <c r="D42" s="212"/>
      <c r="E42" s="212"/>
      <c r="F42" s="23"/>
      <c r="G42" s="23"/>
      <c r="H42" s="23"/>
      <c r="I42" s="45" t="s">
        <v>865</v>
      </c>
      <c r="J42" s="45" t="s">
        <v>97</v>
      </c>
      <c r="K42" s="45" t="s">
        <v>866</v>
      </c>
      <c r="L42" s="13"/>
      <c r="M42" s="24" t="s">
        <v>87</v>
      </c>
      <c r="N42" s="13">
        <f>P42+R42+T42+V42</f>
        <v>39694.9</v>
      </c>
      <c r="O42" s="13">
        <f t="shared" ref="O42:O50" si="18">Q42+S42+U42+W42</f>
        <v>31325.5</v>
      </c>
      <c r="P42" s="13"/>
      <c r="Q42" s="13"/>
      <c r="R42" s="13">
        <v>39611.5</v>
      </c>
      <c r="S42" s="13">
        <v>31259.7</v>
      </c>
      <c r="T42" s="13"/>
      <c r="U42" s="13"/>
      <c r="V42" s="13">
        <v>83.4</v>
      </c>
      <c r="W42" s="13">
        <v>65.8</v>
      </c>
      <c r="X42" s="13">
        <f t="shared" ref="X42:X49" si="19">Y42+Z42+AA42+AB42</f>
        <v>83.4</v>
      </c>
      <c r="Y42" s="13"/>
      <c r="Z42" s="13"/>
      <c r="AA42" s="13"/>
      <c r="AB42" s="13">
        <v>83.4</v>
      </c>
      <c r="AC42" s="13">
        <f t="shared" si="17"/>
        <v>83.4</v>
      </c>
      <c r="AD42" s="13"/>
      <c r="AE42" s="13"/>
      <c r="AF42" s="13"/>
      <c r="AG42" s="13">
        <v>83.4</v>
      </c>
      <c r="AH42" s="13">
        <f t="shared" ref="AH42:AH50" si="20">AI42+AJ42+AK42+AL42</f>
        <v>83.4</v>
      </c>
      <c r="AI42" s="13"/>
      <c r="AJ42" s="13"/>
      <c r="AK42" s="13"/>
      <c r="AL42" s="13">
        <v>83.4</v>
      </c>
      <c r="AM42" s="13">
        <f t="shared" ref="AM42:AM50" si="21">AN42+AO42+AP42+AQ42</f>
        <v>83.4</v>
      </c>
      <c r="AN42" s="13"/>
      <c r="AO42" s="13"/>
      <c r="AP42" s="13"/>
      <c r="AQ42" s="13">
        <v>83.4</v>
      </c>
    </row>
    <row r="43" spans="1:43" ht="35.1" customHeight="1" thickBot="1">
      <c r="A43" s="14"/>
      <c r="B43" s="31"/>
      <c r="C43" s="190"/>
      <c r="D43" s="211"/>
      <c r="E43" s="211"/>
      <c r="F43" s="45" t="s">
        <v>694</v>
      </c>
      <c r="G43" s="45" t="s">
        <v>97</v>
      </c>
      <c r="H43" s="45" t="s">
        <v>695</v>
      </c>
      <c r="I43" s="52" t="s">
        <v>696</v>
      </c>
      <c r="J43" s="52" t="s">
        <v>697</v>
      </c>
      <c r="K43" s="177" t="s">
        <v>698</v>
      </c>
      <c r="L43" s="13"/>
      <c r="M43" s="24" t="s">
        <v>88</v>
      </c>
      <c r="N43" s="13">
        <f t="shared" ref="N43:N50" si="22">P43+R43+T43+V43</f>
        <v>40346.300000000003</v>
      </c>
      <c r="O43" s="13">
        <f t="shared" si="18"/>
        <v>40199.599999999999</v>
      </c>
      <c r="P43" s="13"/>
      <c r="Q43" s="13"/>
      <c r="R43" s="13"/>
      <c r="S43" s="13"/>
      <c r="T43" s="13"/>
      <c r="U43" s="13"/>
      <c r="V43" s="13">
        <f>31066.4+6405.4+1750+1124.5</f>
        <v>40346.300000000003</v>
      </c>
      <c r="W43" s="13">
        <v>40199.599999999999</v>
      </c>
      <c r="X43" s="13">
        <f t="shared" si="19"/>
        <v>41600</v>
      </c>
      <c r="Y43" s="13"/>
      <c r="Z43" s="13"/>
      <c r="AA43" s="13"/>
      <c r="AB43" s="13">
        <v>41600</v>
      </c>
      <c r="AC43" s="13">
        <f t="shared" si="17"/>
        <v>41600</v>
      </c>
      <c r="AD43" s="13"/>
      <c r="AE43" s="13"/>
      <c r="AF43" s="13"/>
      <c r="AG43" s="13">
        <v>41600</v>
      </c>
      <c r="AH43" s="13">
        <f t="shared" si="20"/>
        <v>41600</v>
      </c>
      <c r="AI43" s="13"/>
      <c r="AJ43" s="13"/>
      <c r="AK43" s="13"/>
      <c r="AL43" s="13">
        <v>41600</v>
      </c>
      <c r="AM43" s="13">
        <f t="shared" si="21"/>
        <v>41600</v>
      </c>
      <c r="AN43" s="13"/>
      <c r="AO43" s="13"/>
      <c r="AP43" s="13"/>
      <c r="AQ43" s="13">
        <v>41600</v>
      </c>
    </row>
    <row r="44" spans="1:43" ht="35.1" customHeight="1" thickBot="1">
      <c r="A44" s="14"/>
      <c r="B44" s="31"/>
      <c r="C44" s="200"/>
      <c r="D44" s="212"/>
      <c r="E44" s="212"/>
      <c r="F44" s="45"/>
      <c r="G44" s="45"/>
      <c r="H44" s="178"/>
      <c r="I44" s="45" t="s">
        <v>869</v>
      </c>
      <c r="J44" s="45" t="s">
        <v>97</v>
      </c>
      <c r="K44" s="45" t="s">
        <v>700</v>
      </c>
      <c r="L44" s="13"/>
      <c r="M44" s="24" t="s">
        <v>89</v>
      </c>
      <c r="N44" s="13">
        <f t="shared" si="22"/>
        <v>4211.3999999999996</v>
      </c>
      <c r="O44" s="13">
        <f t="shared" si="18"/>
        <v>3869.2</v>
      </c>
      <c r="P44" s="13"/>
      <c r="Q44" s="13"/>
      <c r="R44" s="13"/>
      <c r="S44" s="13"/>
      <c r="T44" s="13"/>
      <c r="U44" s="13"/>
      <c r="V44" s="13">
        <f>4107.4+104</f>
        <v>4211.3999999999996</v>
      </c>
      <c r="W44" s="13">
        <v>3869.2</v>
      </c>
      <c r="X44" s="13">
        <f t="shared" si="19"/>
        <v>4472.7</v>
      </c>
      <c r="Y44" s="13"/>
      <c r="Z44" s="13"/>
      <c r="AA44" s="13"/>
      <c r="AB44" s="13">
        <v>4472.7</v>
      </c>
      <c r="AC44" s="13">
        <f t="shared" si="17"/>
        <v>4472.7</v>
      </c>
      <c r="AD44" s="13"/>
      <c r="AE44" s="13"/>
      <c r="AF44" s="13"/>
      <c r="AG44" s="13">
        <v>4472.7</v>
      </c>
      <c r="AH44" s="13">
        <f t="shared" si="20"/>
        <v>4472.7</v>
      </c>
      <c r="AI44" s="13"/>
      <c r="AJ44" s="13"/>
      <c r="AK44" s="13"/>
      <c r="AL44" s="13">
        <v>4472.7</v>
      </c>
      <c r="AM44" s="13">
        <f t="shared" si="21"/>
        <v>4472.7</v>
      </c>
      <c r="AN44" s="13"/>
      <c r="AO44" s="13"/>
      <c r="AP44" s="13"/>
      <c r="AQ44" s="13">
        <v>4472.7</v>
      </c>
    </row>
    <row r="45" spans="1:43" ht="35.1" customHeight="1" thickBot="1">
      <c r="A45" s="14"/>
      <c r="B45" s="31"/>
      <c r="C45" s="200"/>
      <c r="D45" s="212"/>
      <c r="E45" s="212"/>
      <c r="F45" s="13"/>
      <c r="G45" s="13"/>
      <c r="H45" s="13"/>
      <c r="I45" s="26" t="s">
        <v>37</v>
      </c>
      <c r="J45" s="26" t="s">
        <v>867</v>
      </c>
      <c r="K45" s="27" t="s">
        <v>868</v>
      </c>
      <c r="L45" s="13"/>
      <c r="M45" s="24" t="s">
        <v>90</v>
      </c>
      <c r="N45" s="13">
        <f t="shared" si="22"/>
        <v>2983.4</v>
      </c>
      <c r="O45" s="13">
        <f t="shared" si="18"/>
        <v>2983.4</v>
      </c>
      <c r="P45" s="13"/>
      <c r="Q45" s="13"/>
      <c r="R45" s="13"/>
      <c r="S45" s="13"/>
      <c r="T45" s="13"/>
      <c r="U45" s="13"/>
      <c r="V45" s="13">
        <f>3000-16.6</f>
        <v>2983.4</v>
      </c>
      <c r="W45" s="13">
        <v>2983.4</v>
      </c>
      <c r="X45" s="13">
        <f t="shared" si="19"/>
        <v>0</v>
      </c>
      <c r="Y45" s="13"/>
      <c r="Z45" s="13"/>
      <c r="AA45" s="13"/>
      <c r="AB45" s="13">
        <v>0</v>
      </c>
      <c r="AC45" s="13">
        <f t="shared" si="17"/>
        <v>0</v>
      </c>
      <c r="AD45" s="13"/>
      <c r="AE45" s="13"/>
      <c r="AF45" s="13"/>
      <c r="AG45" s="13">
        <v>0</v>
      </c>
      <c r="AH45" s="13">
        <f t="shared" si="20"/>
        <v>0</v>
      </c>
      <c r="AI45" s="13"/>
      <c r="AJ45" s="13"/>
      <c r="AK45" s="13"/>
      <c r="AL45" s="13">
        <v>0</v>
      </c>
      <c r="AM45" s="13">
        <f t="shared" si="21"/>
        <v>0</v>
      </c>
      <c r="AN45" s="13"/>
      <c r="AO45" s="13"/>
      <c r="AP45" s="13"/>
      <c r="AQ45" s="13">
        <v>0</v>
      </c>
    </row>
    <row r="46" spans="1:43" ht="35.1" customHeight="1" thickBot="1">
      <c r="A46" s="14"/>
      <c r="B46" s="31"/>
      <c r="C46" s="200"/>
      <c r="D46" s="212"/>
      <c r="E46" s="212"/>
      <c r="F46" s="13"/>
      <c r="G46" s="13"/>
      <c r="H46" s="13"/>
      <c r="I46" s="26"/>
      <c r="J46" s="26"/>
      <c r="K46" s="27"/>
      <c r="L46" s="13"/>
      <c r="M46" s="24" t="s">
        <v>91</v>
      </c>
      <c r="N46" s="13">
        <f t="shared" si="22"/>
        <v>397.6</v>
      </c>
      <c r="O46" s="13">
        <f t="shared" si="18"/>
        <v>397.6</v>
      </c>
      <c r="P46" s="13"/>
      <c r="Q46" s="13"/>
      <c r="R46" s="13"/>
      <c r="S46" s="13"/>
      <c r="T46" s="13"/>
      <c r="U46" s="13"/>
      <c r="V46" s="13">
        <f>582.2-184.6</f>
        <v>397.6</v>
      </c>
      <c r="W46" s="13">
        <v>397.6</v>
      </c>
      <c r="X46" s="13">
        <f t="shared" si="19"/>
        <v>582.20000000000005</v>
      </c>
      <c r="Y46" s="13"/>
      <c r="Z46" s="13"/>
      <c r="AA46" s="13"/>
      <c r="AB46" s="13">
        <v>582.20000000000005</v>
      </c>
      <c r="AC46" s="13">
        <f t="shared" si="17"/>
        <v>582.20000000000005</v>
      </c>
      <c r="AD46" s="13"/>
      <c r="AE46" s="13"/>
      <c r="AF46" s="13"/>
      <c r="AG46" s="13">
        <v>582.20000000000005</v>
      </c>
      <c r="AH46" s="13">
        <f t="shared" si="20"/>
        <v>582.20000000000005</v>
      </c>
      <c r="AI46" s="13"/>
      <c r="AJ46" s="13"/>
      <c r="AK46" s="13"/>
      <c r="AL46" s="13">
        <v>582.20000000000005</v>
      </c>
      <c r="AM46" s="13">
        <f t="shared" si="21"/>
        <v>582.20000000000005</v>
      </c>
      <c r="AN46" s="13"/>
      <c r="AO46" s="13"/>
      <c r="AP46" s="13"/>
      <c r="AQ46" s="13">
        <v>582.20000000000005</v>
      </c>
    </row>
    <row r="47" spans="1:43" ht="35.1" customHeight="1" thickBot="1">
      <c r="A47" s="14"/>
      <c r="B47" s="31"/>
      <c r="C47" s="200"/>
      <c r="D47" s="212"/>
      <c r="E47" s="212"/>
      <c r="F47" s="13"/>
      <c r="G47" s="13"/>
      <c r="H47" s="13"/>
      <c r="I47" s="26"/>
      <c r="J47" s="26"/>
      <c r="K47" s="27"/>
      <c r="L47" s="13"/>
      <c r="M47" s="24" t="s">
        <v>92</v>
      </c>
      <c r="N47" s="13">
        <f t="shared" si="22"/>
        <v>1500</v>
      </c>
      <c r="O47" s="13">
        <f t="shared" si="18"/>
        <v>1500</v>
      </c>
      <c r="P47" s="13"/>
      <c r="Q47" s="13"/>
      <c r="R47" s="13"/>
      <c r="S47" s="13"/>
      <c r="T47" s="13"/>
      <c r="U47" s="13"/>
      <c r="V47" s="13">
        <v>1500</v>
      </c>
      <c r="W47" s="13">
        <v>1500</v>
      </c>
      <c r="X47" s="13">
        <f t="shared" si="19"/>
        <v>0</v>
      </c>
      <c r="Y47" s="13"/>
      <c r="Z47" s="13"/>
      <c r="AA47" s="13"/>
      <c r="AB47" s="13">
        <v>0</v>
      </c>
      <c r="AC47" s="13">
        <f t="shared" si="17"/>
        <v>0</v>
      </c>
      <c r="AD47" s="13"/>
      <c r="AE47" s="13"/>
      <c r="AF47" s="13"/>
      <c r="AG47" s="13">
        <v>0</v>
      </c>
      <c r="AH47" s="13">
        <f t="shared" si="20"/>
        <v>0</v>
      </c>
      <c r="AI47" s="13"/>
      <c r="AJ47" s="13"/>
      <c r="AK47" s="13"/>
      <c r="AL47" s="13">
        <v>0</v>
      </c>
      <c r="AM47" s="13">
        <f t="shared" si="21"/>
        <v>0</v>
      </c>
      <c r="AN47" s="13"/>
      <c r="AO47" s="13"/>
      <c r="AP47" s="13"/>
      <c r="AQ47" s="13">
        <v>0</v>
      </c>
    </row>
    <row r="48" spans="1:43" ht="35.1" customHeight="1" thickBot="1">
      <c r="A48" s="14"/>
      <c r="B48" s="31"/>
      <c r="C48" s="200"/>
      <c r="D48" s="212"/>
      <c r="E48" s="212"/>
      <c r="F48" s="13"/>
      <c r="G48" s="13"/>
      <c r="H48" s="13"/>
      <c r="I48" s="26"/>
      <c r="J48" s="13"/>
      <c r="K48" s="13"/>
      <c r="L48" s="13"/>
      <c r="M48" s="24" t="s">
        <v>93</v>
      </c>
      <c r="N48" s="13">
        <f t="shared" si="22"/>
        <v>299</v>
      </c>
      <c r="O48" s="13">
        <f t="shared" si="18"/>
        <v>0</v>
      </c>
      <c r="P48" s="13"/>
      <c r="Q48" s="13"/>
      <c r="R48" s="13"/>
      <c r="S48" s="13"/>
      <c r="T48" s="13"/>
      <c r="U48" s="13"/>
      <c r="V48" s="13">
        <v>299</v>
      </c>
      <c r="W48" s="13">
        <v>0</v>
      </c>
      <c r="X48" s="13">
        <f t="shared" si="19"/>
        <v>0</v>
      </c>
      <c r="Y48" s="13"/>
      <c r="Z48" s="13"/>
      <c r="AA48" s="13"/>
      <c r="AB48" s="13">
        <v>0</v>
      </c>
      <c r="AC48" s="13">
        <f t="shared" si="17"/>
        <v>0</v>
      </c>
      <c r="AD48" s="13"/>
      <c r="AE48" s="13"/>
      <c r="AF48" s="13"/>
      <c r="AG48" s="13">
        <v>0</v>
      </c>
      <c r="AH48" s="13">
        <f t="shared" si="20"/>
        <v>0</v>
      </c>
      <c r="AI48" s="13"/>
      <c r="AJ48" s="13"/>
      <c r="AK48" s="13"/>
      <c r="AL48" s="13">
        <v>0</v>
      </c>
      <c r="AM48" s="13">
        <f t="shared" si="21"/>
        <v>0</v>
      </c>
      <c r="AN48" s="13"/>
      <c r="AO48" s="13"/>
      <c r="AP48" s="13"/>
      <c r="AQ48" s="13">
        <v>0</v>
      </c>
    </row>
    <row r="49" spans="1:43" ht="35.1" customHeight="1" thickBot="1">
      <c r="A49" s="14"/>
      <c r="B49" s="31"/>
      <c r="C49" s="200"/>
      <c r="D49" s="212"/>
      <c r="E49" s="212"/>
      <c r="F49" s="45"/>
      <c r="G49" s="45"/>
      <c r="H49" s="45"/>
      <c r="I49" s="45" t="s">
        <v>701</v>
      </c>
      <c r="J49" s="45" t="s">
        <v>97</v>
      </c>
      <c r="K49" s="45" t="s">
        <v>870</v>
      </c>
      <c r="L49" s="45"/>
      <c r="M49" s="24" t="s">
        <v>94</v>
      </c>
      <c r="N49" s="13">
        <f>P49+R49+V49</f>
        <v>76164.5</v>
      </c>
      <c r="O49" s="13">
        <f t="shared" si="18"/>
        <v>63916.5</v>
      </c>
      <c r="P49" s="13"/>
      <c r="Q49" s="13"/>
      <c r="R49" s="13">
        <f>76164.5-380.8</f>
        <v>75783.7</v>
      </c>
      <c r="S49" s="13">
        <v>63596.9</v>
      </c>
      <c r="T49" s="13"/>
      <c r="U49" s="13"/>
      <c r="V49" s="13">
        <v>380.8</v>
      </c>
      <c r="W49" s="13">
        <v>319.60000000000002</v>
      </c>
      <c r="X49" s="13">
        <f t="shared" si="19"/>
        <v>337.4</v>
      </c>
      <c r="Y49" s="13"/>
      <c r="Z49" s="13">
        <v>0</v>
      </c>
      <c r="AA49" s="13"/>
      <c r="AB49" s="13">
        <v>337.4</v>
      </c>
      <c r="AC49" s="13">
        <f t="shared" si="17"/>
        <v>0</v>
      </c>
      <c r="AD49" s="13"/>
      <c r="AE49" s="13"/>
      <c r="AF49" s="13"/>
      <c r="AG49" s="13">
        <v>0</v>
      </c>
      <c r="AH49" s="13">
        <f t="shared" si="20"/>
        <v>0</v>
      </c>
      <c r="AI49" s="13"/>
      <c r="AJ49" s="13"/>
      <c r="AK49" s="13"/>
      <c r="AL49" s="13">
        <v>0</v>
      </c>
      <c r="AM49" s="13">
        <f t="shared" si="21"/>
        <v>0</v>
      </c>
      <c r="AN49" s="13"/>
      <c r="AO49" s="13"/>
      <c r="AP49" s="13"/>
      <c r="AQ49" s="13">
        <v>0</v>
      </c>
    </row>
    <row r="50" spans="1:43" ht="35.1" customHeight="1">
      <c r="A50" s="15"/>
      <c r="B50" s="34"/>
      <c r="C50" s="200"/>
      <c r="D50" s="212"/>
      <c r="E50" s="212"/>
      <c r="F50" s="35"/>
      <c r="G50" s="35"/>
      <c r="H50" s="35"/>
      <c r="I50" s="205" t="s">
        <v>721</v>
      </c>
      <c r="J50" s="205" t="s">
        <v>867</v>
      </c>
      <c r="K50" s="232" t="s">
        <v>871</v>
      </c>
      <c r="L50" s="13"/>
      <c r="M50" s="24" t="s">
        <v>95</v>
      </c>
      <c r="N50" s="13">
        <f t="shared" si="22"/>
        <v>1285.3</v>
      </c>
      <c r="O50" s="13">
        <f t="shared" si="18"/>
        <v>1285.3</v>
      </c>
      <c r="P50" s="13"/>
      <c r="Q50" s="13"/>
      <c r="R50" s="13"/>
      <c r="S50" s="13"/>
      <c r="T50" s="13"/>
      <c r="U50" s="13"/>
      <c r="V50" s="13">
        <f>1368-86.7+4</f>
        <v>1285.3</v>
      </c>
      <c r="W50" s="13">
        <v>1285.3</v>
      </c>
      <c r="X50" s="13">
        <f t="shared" ref="X50" si="23">Y50+Z50+AA50+AB50</f>
        <v>0</v>
      </c>
      <c r="Y50" s="13"/>
      <c r="Z50" s="13"/>
      <c r="AA50" s="13"/>
      <c r="AB50" s="13">
        <v>0</v>
      </c>
      <c r="AC50" s="13">
        <f t="shared" ref="AC50" si="24">AD50+AE50+AF50+AG50</f>
        <v>0</v>
      </c>
      <c r="AD50" s="13"/>
      <c r="AE50" s="13"/>
      <c r="AF50" s="13"/>
      <c r="AG50" s="13">
        <v>0</v>
      </c>
      <c r="AH50" s="13">
        <f t="shared" si="20"/>
        <v>0</v>
      </c>
      <c r="AI50" s="13"/>
      <c r="AJ50" s="13"/>
      <c r="AK50" s="13"/>
      <c r="AL50" s="13">
        <v>0</v>
      </c>
      <c r="AM50" s="13">
        <f t="shared" si="21"/>
        <v>0</v>
      </c>
      <c r="AN50" s="13"/>
      <c r="AO50" s="13"/>
      <c r="AP50" s="13"/>
      <c r="AQ50" s="13">
        <v>0</v>
      </c>
    </row>
    <row r="51" spans="1:43" ht="35.1" customHeight="1">
      <c r="A51" s="59" t="s">
        <v>96</v>
      </c>
      <c r="B51" s="44">
        <v>2508</v>
      </c>
      <c r="C51" s="19"/>
      <c r="D51" s="20"/>
      <c r="E51" s="20"/>
      <c r="F51" s="20"/>
      <c r="G51" s="20"/>
      <c r="H51" s="20"/>
      <c r="I51" s="20"/>
      <c r="J51" s="20"/>
      <c r="K51" s="20"/>
      <c r="L51" s="39">
        <v>18</v>
      </c>
      <c r="M51" s="20"/>
      <c r="N51" s="10">
        <f>N52+N53+N54+N55+N56+N63+N59+N61+N62+N58+N57+N60</f>
        <v>34775.800000000003</v>
      </c>
      <c r="O51" s="10">
        <f t="shared" ref="O51:AQ51" si="25">O52+O53+O54+O55+O56+O63+O59+O61+O62+O58+O57+O60</f>
        <v>30905.300000000003</v>
      </c>
      <c r="P51" s="10">
        <f t="shared" si="25"/>
        <v>968.8</v>
      </c>
      <c r="Q51" s="10">
        <f t="shared" si="25"/>
        <v>968.8</v>
      </c>
      <c r="R51" s="10">
        <f t="shared" si="25"/>
        <v>21135.199999999997</v>
      </c>
      <c r="S51" s="10">
        <f t="shared" si="25"/>
        <v>21135.199999999997</v>
      </c>
      <c r="T51" s="10">
        <f t="shared" si="25"/>
        <v>0</v>
      </c>
      <c r="U51" s="10">
        <f t="shared" si="25"/>
        <v>0</v>
      </c>
      <c r="V51" s="10">
        <f t="shared" si="25"/>
        <v>12671.8</v>
      </c>
      <c r="W51" s="10">
        <f t="shared" si="25"/>
        <v>8801.2999999999993</v>
      </c>
      <c r="X51" s="10">
        <f t="shared" si="25"/>
        <v>4999.3999999999996</v>
      </c>
      <c r="Y51" s="10">
        <f t="shared" si="25"/>
        <v>0</v>
      </c>
      <c r="Z51" s="10">
        <f t="shared" si="25"/>
        <v>0</v>
      </c>
      <c r="AA51" s="10">
        <f t="shared" si="25"/>
        <v>0</v>
      </c>
      <c r="AB51" s="10">
        <f t="shared" si="25"/>
        <v>4999.3999999999996</v>
      </c>
      <c r="AC51" s="10">
        <f t="shared" si="25"/>
        <v>113200.3</v>
      </c>
      <c r="AD51" s="10">
        <f t="shared" si="25"/>
        <v>0</v>
      </c>
      <c r="AE51" s="10">
        <f t="shared" si="25"/>
        <v>107118.90000000001</v>
      </c>
      <c r="AF51" s="10">
        <f t="shared" si="25"/>
        <v>0</v>
      </c>
      <c r="AG51" s="10">
        <f t="shared" si="25"/>
        <v>6081.4</v>
      </c>
      <c r="AH51" s="10">
        <f t="shared" si="25"/>
        <v>4999.3999999999996</v>
      </c>
      <c r="AI51" s="10">
        <f t="shared" si="25"/>
        <v>0</v>
      </c>
      <c r="AJ51" s="10">
        <f t="shared" si="25"/>
        <v>0</v>
      </c>
      <c r="AK51" s="10">
        <f t="shared" si="25"/>
        <v>0</v>
      </c>
      <c r="AL51" s="10">
        <f t="shared" si="25"/>
        <v>4999.3999999999996</v>
      </c>
      <c r="AM51" s="10">
        <f t="shared" si="25"/>
        <v>4999.3999999999996</v>
      </c>
      <c r="AN51" s="10">
        <f t="shared" si="25"/>
        <v>0</v>
      </c>
      <c r="AO51" s="10">
        <f t="shared" si="25"/>
        <v>0</v>
      </c>
      <c r="AP51" s="10">
        <f t="shared" si="25"/>
        <v>0</v>
      </c>
      <c r="AQ51" s="10">
        <f t="shared" si="25"/>
        <v>4999.3999999999996</v>
      </c>
    </row>
    <row r="52" spans="1:43" ht="35.1" customHeight="1">
      <c r="A52" s="40"/>
      <c r="B52" s="25"/>
      <c r="C52" s="228"/>
      <c r="D52" s="16"/>
      <c r="E52" s="67"/>
      <c r="F52" s="45" t="s">
        <v>702</v>
      </c>
      <c r="G52" s="45" t="s">
        <v>699</v>
      </c>
      <c r="H52" s="45" t="s">
        <v>703</v>
      </c>
      <c r="I52" s="45" t="s">
        <v>907</v>
      </c>
      <c r="J52" s="45" t="s">
        <v>97</v>
      </c>
      <c r="K52" s="179" t="s">
        <v>908</v>
      </c>
      <c r="L52" s="13"/>
      <c r="M52" s="24" t="s">
        <v>98</v>
      </c>
      <c r="N52" s="255">
        <f t="shared" ref="N52:O63" si="26">P52+R52+T52+V52</f>
        <v>17950</v>
      </c>
      <c r="O52" s="255">
        <f t="shared" si="26"/>
        <v>17950</v>
      </c>
      <c r="P52" s="13"/>
      <c r="Q52" s="13"/>
      <c r="R52" s="13">
        <v>17772.3</v>
      </c>
      <c r="S52" s="13">
        <v>17772.3</v>
      </c>
      <c r="U52" s="13"/>
      <c r="V52" s="13">
        <v>177.7</v>
      </c>
      <c r="W52" s="13">
        <v>177.7</v>
      </c>
      <c r="X52" s="13">
        <f>Y52+Z52+AB52</f>
        <v>0</v>
      </c>
      <c r="Y52" s="13"/>
      <c r="Z52" s="13">
        <v>0</v>
      </c>
      <c r="AA52" s="13"/>
      <c r="AB52" s="13">
        <v>0</v>
      </c>
      <c r="AC52" s="13">
        <v>0</v>
      </c>
      <c r="AD52" s="13"/>
      <c r="AE52" s="13"/>
      <c r="AF52" s="13"/>
      <c r="AG52" s="13">
        <v>0</v>
      </c>
      <c r="AH52" s="13">
        <v>0</v>
      </c>
      <c r="AI52" s="13"/>
      <c r="AJ52" s="13"/>
      <c r="AK52" s="13"/>
      <c r="AL52" s="13">
        <v>0</v>
      </c>
      <c r="AM52" s="13">
        <v>0</v>
      </c>
      <c r="AN52" s="13"/>
      <c r="AO52" s="13"/>
      <c r="AP52" s="13"/>
      <c r="AQ52" s="13">
        <v>0</v>
      </c>
    </row>
    <row r="53" spans="1:43" ht="35.1" customHeight="1" thickBot="1">
      <c r="A53" s="14"/>
      <c r="B53" s="248"/>
      <c r="C53" s="200" t="s">
        <v>872</v>
      </c>
      <c r="D53" s="202" t="s">
        <v>97</v>
      </c>
      <c r="E53" s="204" t="s">
        <v>852</v>
      </c>
      <c r="F53" s="49"/>
      <c r="G53" s="49"/>
      <c r="H53" s="49"/>
      <c r="I53" s="207"/>
      <c r="J53" s="207"/>
      <c r="K53" s="207"/>
      <c r="L53" s="13"/>
      <c r="M53" s="24" t="s">
        <v>99</v>
      </c>
      <c r="N53" s="255">
        <f t="shared" si="26"/>
        <v>0</v>
      </c>
      <c r="O53" s="255">
        <f t="shared" si="26"/>
        <v>0</v>
      </c>
      <c r="P53" s="13"/>
      <c r="Q53" s="13"/>
      <c r="R53" s="13">
        <v>0</v>
      </c>
      <c r="S53" s="13">
        <v>0</v>
      </c>
      <c r="T53" s="13"/>
      <c r="U53" s="13"/>
      <c r="V53" s="13"/>
      <c r="W53" s="13"/>
      <c r="X53" s="13">
        <f>Y53+Z53+AA53+AB53</f>
        <v>0</v>
      </c>
      <c r="Y53" s="13"/>
      <c r="Z53" s="13">
        <v>0</v>
      </c>
      <c r="AA53" s="13"/>
      <c r="AB53" s="13">
        <v>0</v>
      </c>
      <c r="AC53" s="13">
        <f>AD53+AE53+AF53+AG53</f>
        <v>30269.3</v>
      </c>
      <c r="AD53" s="13"/>
      <c r="AE53" s="13">
        <v>30269.3</v>
      </c>
      <c r="AF53" s="13"/>
      <c r="AG53" s="13">
        <v>0</v>
      </c>
      <c r="AH53" s="13">
        <f>AJ53</f>
        <v>0</v>
      </c>
      <c r="AI53" s="13"/>
      <c r="AJ53" s="13">
        <v>0</v>
      </c>
      <c r="AK53" s="13"/>
      <c r="AL53" s="13"/>
      <c r="AM53" s="13">
        <f>AO53</f>
        <v>0</v>
      </c>
      <c r="AN53" s="13"/>
      <c r="AO53" s="13">
        <v>0</v>
      </c>
      <c r="AP53" s="13"/>
      <c r="AQ53" s="13"/>
    </row>
    <row r="54" spans="1:43" ht="35.1" customHeight="1" thickBot="1">
      <c r="A54" s="14"/>
      <c r="B54" s="44"/>
      <c r="C54" s="200" t="s">
        <v>851</v>
      </c>
      <c r="D54" s="201" t="s">
        <v>97</v>
      </c>
      <c r="E54" s="204" t="s">
        <v>853</v>
      </c>
      <c r="I54" s="45"/>
      <c r="J54" s="45"/>
      <c r="K54" s="45"/>
      <c r="L54" s="13"/>
      <c r="M54" s="24" t="s">
        <v>100</v>
      </c>
      <c r="N54" s="255">
        <f t="shared" si="26"/>
        <v>0</v>
      </c>
      <c r="O54" s="255">
        <f t="shared" si="26"/>
        <v>0</v>
      </c>
      <c r="P54" s="13"/>
      <c r="Q54" s="13"/>
      <c r="R54" s="13">
        <v>0</v>
      </c>
      <c r="S54" s="13">
        <v>0</v>
      </c>
      <c r="T54" s="13"/>
      <c r="U54" s="13"/>
      <c r="V54" s="13"/>
      <c r="W54" s="13"/>
      <c r="X54" s="13">
        <f>Y54+Z54+AA54+AB54</f>
        <v>0</v>
      </c>
      <c r="Y54" s="13"/>
      <c r="Z54" s="13">
        <v>0</v>
      </c>
      <c r="AA54" s="13"/>
      <c r="AB54" s="13">
        <v>0</v>
      </c>
      <c r="AC54" s="13">
        <f>AD54+AE54+AF54+AG54</f>
        <v>77931.600000000006</v>
      </c>
      <c r="AD54" s="13"/>
      <c r="AE54" s="13">
        <v>76849.600000000006</v>
      </c>
      <c r="AF54" s="13"/>
      <c r="AG54" s="13">
        <v>1082</v>
      </c>
      <c r="AH54" s="13">
        <f>AJ54</f>
        <v>0</v>
      </c>
      <c r="AI54" s="13"/>
      <c r="AJ54" s="13"/>
      <c r="AK54" s="13"/>
      <c r="AL54" s="13"/>
      <c r="AM54" s="13">
        <f>AO54</f>
        <v>0</v>
      </c>
      <c r="AN54" s="13"/>
      <c r="AO54" s="13"/>
      <c r="AP54" s="13"/>
      <c r="AQ54" s="13"/>
    </row>
    <row r="55" spans="1:43" ht="35.1" customHeight="1" thickBot="1">
      <c r="A55" s="14"/>
      <c r="B55" s="25"/>
      <c r="C55" s="200"/>
      <c r="D55" s="202"/>
      <c r="E55" s="204"/>
      <c r="F55" s="13"/>
      <c r="G55" s="13"/>
      <c r="H55" s="13"/>
      <c r="I55" s="26" t="s">
        <v>873</v>
      </c>
      <c r="J55" s="26" t="s">
        <v>97</v>
      </c>
      <c r="K55" s="26" t="s">
        <v>874</v>
      </c>
      <c r="L55" s="13"/>
      <c r="M55" s="24" t="s">
        <v>101</v>
      </c>
      <c r="N55" s="255">
        <f t="shared" si="26"/>
        <v>574.40000000000009</v>
      </c>
      <c r="O55" s="255">
        <f t="shared" si="26"/>
        <v>573.6</v>
      </c>
      <c r="P55" s="13"/>
      <c r="Q55" s="13"/>
      <c r="R55" s="13"/>
      <c r="S55" s="13"/>
      <c r="T55" s="13"/>
      <c r="U55" s="13"/>
      <c r="V55" s="13">
        <f>1249.4-677-2+4</f>
        <v>574.40000000000009</v>
      </c>
      <c r="W55" s="13">
        <v>573.6</v>
      </c>
      <c r="X55" s="13">
        <f>AB55</f>
        <v>1249.4000000000001</v>
      </c>
      <c r="Y55" s="13"/>
      <c r="Z55" s="13"/>
      <c r="AA55" s="13"/>
      <c r="AB55" s="13">
        <v>1249.4000000000001</v>
      </c>
      <c r="AC55" s="13">
        <f>AG55</f>
        <v>1249.4000000000001</v>
      </c>
      <c r="AD55" s="13"/>
      <c r="AE55" s="13"/>
      <c r="AF55" s="13"/>
      <c r="AG55" s="13">
        <v>1249.4000000000001</v>
      </c>
      <c r="AH55" s="13">
        <f>AL55</f>
        <v>1249.4000000000001</v>
      </c>
      <c r="AI55" s="13"/>
      <c r="AJ55" s="13"/>
      <c r="AK55" s="13"/>
      <c r="AL55" s="13">
        <v>1249.4000000000001</v>
      </c>
      <c r="AM55" s="13">
        <f>AQ55</f>
        <v>1249.4000000000001</v>
      </c>
      <c r="AN55" s="13"/>
      <c r="AO55" s="13"/>
      <c r="AP55" s="13"/>
      <c r="AQ55" s="13">
        <v>1249.4000000000001</v>
      </c>
    </row>
    <row r="56" spans="1:43" ht="35.1" customHeight="1" thickBot="1">
      <c r="A56" s="14"/>
      <c r="B56" s="25"/>
      <c r="C56" s="200"/>
      <c r="D56" s="202"/>
      <c r="E56" s="204"/>
      <c r="F56" s="13"/>
      <c r="G56" s="13"/>
      <c r="H56" s="13"/>
      <c r="I56" s="257"/>
      <c r="J56" s="258"/>
      <c r="K56" s="258"/>
      <c r="L56" s="13"/>
      <c r="M56" s="24" t="s">
        <v>102</v>
      </c>
      <c r="N56" s="255">
        <f t="shared" si="26"/>
        <v>1358.3</v>
      </c>
      <c r="O56" s="255">
        <f t="shared" si="26"/>
        <v>1346.2</v>
      </c>
      <c r="P56" s="13"/>
      <c r="Q56" s="13"/>
      <c r="R56" s="13"/>
      <c r="S56" s="13"/>
      <c r="T56" s="13"/>
      <c r="U56" s="13"/>
      <c r="V56" s="13">
        <f>300+250.6+210.7-2+599</f>
        <v>1358.3</v>
      </c>
      <c r="W56" s="13">
        <v>1346.2</v>
      </c>
      <c r="X56" s="13">
        <f>AB56</f>
        <v>750</v>
      </c>
      <c r="Y56" s="13"/>
      <c r="Z56" s="13"/>
      <c r="AA56" s="13"/>
      <c r="AB56" s="13">
        <v>750</v>
      </c>
      <c r="AC56" s="13">
        <v>750</v>
      </c>
      <c r="AD56" s="13"/>
      <c r="AE56" s="13"/>
      <c r="AF56" s="13"/>
      <c r="AG56" s="13">
        <v>750</v>
      </c>
      <c r="AH56" s="13">
        <f>AL56</f>
        <v>750</v>
      </c>
      <c r="AI56" s="13"/>
      <c r="AJ56" s="13"/>
      <c r="AK56" s="13"/>
      <c r="AL56" s="13">
        <v>750</v>
      </c>
      <c r="AM56" s="13">
        <f>AQ56</f>
        <v>750</v>
      </c>
      <c r="AN56" s="13"/>
      <c r="AO56" s="13"/>
      <c r="AP56" s="13"/>
      <c r="AQ56" s="13">
        <v>750</v>
      </c>
    </row>
    <row r="57" spans="1:43" ht="35.1" customHeight="1">
      <c r="A57" s="40"/>
      <c r="B57" s="25"/>
      <c r="F57" s="13"/>
      <c r="G57" s="13"/>
      <c r="H57" s="13"/>
      <c r="I57" s="309" t="s">
        <v>721</v>
      </c>
      <c r="J57" s="309" t="s">
        <v>895</v>
      </c>
      <c r="K57" s="312" t="s">
        <v>717</v>
      </c>
      <c r="L57" s="13"/>
      <c r="M57" s="24" t="s">
        <v>106</v>
      </c>
      <c r="N57" s="255">
        <f t="shared" si="26"/>
        <v>192.1</v>
      </c>
      <c r="O57" s="255">
        <f t="shared" si="26"/>
        <v>192.1</v>
      </c>
      <c r="P57" s="13"/>
      <c r="Q57" s="13"/>
      <c r="R57" s="13">
        <v>192.1</v>
      </c>
      <c r="S57" s="13">
        <v>192.1</v>
      </c>
      <c r="T57" s="13"/>
      <c r="U57" s="13"/>
      <c r="V57" s="13"/>
      <c r="W57" s="13"/>
      <c r="X57" s="13">
        <f t="shared" ref="X57:X62" si="27">AB57</f>
        <v>0</v>
      </c>
      <c r="Y57" s="13"/>
      <c r="Z57" s="13"/>
      <c r="AA57" s="13"/>
      <c r="AB57" s="13">
        <v>0</v>
      </c>
      <c r="AC57" s="13">
        <v>0</v>
      </c>
      <c r="AD57" s="13"/>
      <c r="AE57" s="13"/>
      <c r="AF57" s="13"/>
      <c r="AG57" s="13">
        <v>0</v>
      </c>
      <c r="AH57" s="13">
        <v>0</v>
      </c>
      <c r="AI57" s="13"/>
      <c r="AJ57" s="13"/>
      <c r="AK57" s="13"/>
      <c r="AL57" s="13">
        <v>0</v>
      </c>
      <c r="AM57" s="13">
        <v>0</v>
      </c>
      <c r="AN57" s="13"/>
      <c r="AO57" s="13"/>
      <c r="AP57" s="13"/>
      <c r="AQ57" s="13">
        <v>0</v>
      </c>
    </row>
    <row r="58" spans="1:43" ht="35.1" customHeight="1">
      <c r="A58" s="40"/>
      <c r="B58" s="25"/>
      <c r="C58" s="259"/>
      <c r="D58" s="254"/>
      <c r="E58" s="254"/>
      <c r="F58" s="13"/>
      <c r="G58" s="13"/>
      <c r="H58" s="13"/>
      <c r="I58" s="310"/>
      <c r="J58" s="311"/>
      <c r="K58" s="311"/>
      <c r="L58" s="13"/>
      <c r="M58" s="24" t="s">
        <v>107</v>
      </c>
      <c r="N58" s="255">
        <f t="shared" si="26"/>
        <v>100</v>
      </c>
      <c r="O58" s="255">
        <f t="shared" si="26"/>
        <v>100</v>
      </c>
      <c r="P58" s="13"/>
      <c r="Q58" s="13"/>
      <c r="R58" s="13"/>
      <c r="S58" s="13"/>
      <c r="T58" s="13"/>
      <c r="U58" s="13"/>
      <c r="V58" s="13">
        <v>100</v>
      </c>
      <c r="W58" s="13">
        <v>100</v>
      </c>
      <c r="X58" s="13">
        <f t="shared" si="27"/>
        <v>0</v>
      </c>
      <c r="Y58" s="13"/>
      <c r="Z58" s="13"/>
      <c r="AA58" s="13"/>
      <c r="AB58" s="13">
        <v>0</v>
      </c>
      <c r="AC58" s="13">
        <v>0</v>
      </c>
      <c r="AD58" s="13"/>
      <c r="AE58" s="13"/>
      <c r="AF58" s="13"/>
      <c r="AG58" s="13">
        <v>0</v>
      </c>
      <c r="AH58" s="13">
        <v>0</v>
      </c>
      <c r="AI58" s="13"/>
      <c r="AJ58" s="13"/>
      <c r="AK58" s="13"/>
      <c r="AL58" s="13">
        <v>0</v>
      </c>
      <c r="AM58" s="13">
        <v>0</v>
      </c>
      <c r="AN58" s="13"/>
      <c r="AO58" s="13"/>
      <c r="AP58" s="13"/>
      <c r="AQ58" s="13">
        <v>0</v>
      </c>
    </row>
    <row r="59" spans="1:43" ht="35.1" customHeight="1">
      <c r="A59" s="40"/>
      <c r="B59" s="25"/>
      <c r="C59" s="23" t="s">
        <v>103</v>
      </c>
      <c r="D59" s="23" t="s">
        <v>104</v>
      </c>
      <c r="E59" s="23" t="s">
        <v>105</v>
      </c>
      <c r="F59" s="13"/>
      <c r="G59" s="13"/>
      <c r="H59" s="13"/>
      <c r="I59" s="310"/>
      <c r="J59" s="311"/>
      <c r="K59" s="311"/>
      <c r="L59" s="13"/>
      <c r="M59" s="24" t="s">
        <v>108</v>
      </c>
      <c r="N59" s="255">
        <f t="shared" si="26"/>
        <v>1235.9999999999998</v>
      </c>
      <c r="O59" s="255">
        <f t="shared" si="26"/>
        <v>1205.4000000000001</v>
      </c>
      <c r="P59" s="13"/>
      <c r="Q59" s="13"/>
      <c r="R59" s="13"/>
      <c r="S59" s="13"/>
      <c r="T59" s="13"/>
      <c r="U59" s="13"/>
      <c r="V59" s="13">
        <f>2382.6-2294.8+184.5+218.6+131.5+33.9+310.8+218.3+50.7-0.1</f>
        <v>1235.9999999999998</v>
      </c>
      <c r="W59" s="13">
        <v>1205.4000000000001</v>
      </c>
      <c r="X59" s="13">
        <f t="shared" si="27"/>
        <v>0</v>
      </c>
      <c r="Y59" s="13"/>
      <c r="Z59" s="13"/>
      <c r="AA59" s="13"/>
      <c r="AB59" s="13">
        <v>0</v>
      </c>
      <c r="AC59" s="13">
        <v>0</v>
      </c>
      <c r="AD59" s="13"/>
      <c r="AE59" s="13"/>
      <c r="AF59" s="13"/>
      <c r="AG59" s="13">
        <v>0</v>
      </c>
      <c r="AH59" s="13">
        <v>0</v>
      </c>
      <c r="AI59" s="13"/>
      <c r="AJ59" s="13"/>
      <c r="AK59" s="13"/>
      <c r="AL59" s="13">
        <v>0</v>
      </c>
      <c r="AM59" s="13">
        <v>0</v>
      </c>
      <c r="AN59" s="13"/>
      <c r="AO59" s="13"/>
      <c r="AP59" s="13"/>
      <c r="AQ59" s="13">
        <v>0</v>
      </c>
    </row>
    <row r="60" spans="1:43" ht="35.1" customHeight="1">
      <c r="A60" s="40"/>
      <c r="B60" s="25"/>
      <c r="C60" s="259"/>
      <c r="D60" s="254"/>
      <c r="E60" s="254"/>
      <c r="F60" s="13"/>
      <c r="G60" s="13"/>
      <c r="H60" s="13"/>
      <c r="I60" s="310"/>
      <c r="J60" s="311"/>
      <c r="K60" s="311"/>
      <c r="L60" s="13"/>
      <c r="M60" s="24" t="s">
        <v>109</v>
      </c>
      <c r="N60" s="255">
        <f t="shared" si="26"/>
        <v>2605.1999999999998</v>
      </c>
      <c r="O60" s="255">
        <f t="shared" si="26"/>
        <v>2605.1999999999998</v>
      </c>
      <c r="P60" s="13"/>
      <c r="Q60" s="13"/>
      <c r="R60" s="13"/>
      <c r="S60" s="13"/>
      <c r="T60" s="13"/>
      <c r="U60" s="13"/>
      <c r="V60" s="13">
        <f>2382.6+222.6</f>
        <v>2605.1999999999998</v>
      </c>
      <c r="W60" s="13">
        <v>2605.1999999999998</v>
      </c>
      <c r="X60" s="13">
        <f t="shared" si="27"/>
        <v>0</v>
      </c>
      <c r="Y60" s="13"/>
      <c r="Z60" s="13"/>
      <c r="AA60" s="13"/>
      <c r="AB60" s="13">
        <v>0</v>
      </c>
      <c r="AC60" s="13">
        <v>0</v>
      </c>
      <c r="AD60" s="13"/>
      <c r="AE60" s="13"/>
      <c r="AF60" s="13"/>
      <c r="AG60" s="13">
        <v>0</v>
      </c>
      <c r="AH60" s="13">
        <v>0</v>
      </c>
      <c r="AI60" s="13"/>
      <c r="AJ60" s="13"/>
      <c r="AK60" s="13"/>
      <c r="AL60" s="13">
        <v>0</v>
      </c>
      <c r="AM60" s="13">
        <v>0</v>
      </c>
      <c r="AN60" s="13"/>
      <c r="AO60" s="13"/>
      <c r="AP60" s="13"/>
      <c r="AQ60" s="13">
        <v>0</v>
      </c>
    </row>
    <row r="61" spans="1:43" ht="35.1" customHeight="1">
      <c r="A61" s="40"/>
      <c r="B61" s="25"/>
      <c r="C61" s="259"/>
      <c r="D61" s="254"/>
      <c r="E61" s="254"/>
      <c r="F61" s="13"/>
      <c r="G61" s="13"/>
      <c r="H61" s="13"/>
      <c r="I61" s="310"/>
      <c r="J61" s="311"/>
      <c r="K61" s="311"/>
      <c r="L61" s="13"/>
      <c r="M61" s="24" t="s">
        <v>110</v>
      </c>
      <c r="N61" s="255">
        <f t="shared" si="26"/>
        <v>20.2</v>
      </c>
      <c r="O61" s="255">
        <f t="shared" si="26"/>
        <v>20.2</v>
      </c>
      <c r="P61" s="13"/>
      <c r="Q61" s="13"/>
      <c r="R61" s="13"/>
      <c r="S61" s="13"/>
      <c r="T61" s="13"/>
      <c r="U61" s="13"/>
      <c r="V61" s="13">
        <v>20.2</v>
      </c>
      <c r="W61" s="13">
        <v>20.2</v>
      </c>
      <c r="X61" s="13">
        <f t="shared" si="27"/>
        <v>0</v>
      </c>
      <c r="Y61" s="13"/>
      <c r="Z61" s="13"/>
      <c r="AA61" s="13"/>
      <c r="AB61" s="13">
        <v>0</v>
      </c>
      <c r="AC61" s="13">
        <v>0</v>
      </c>
      <c r="AD61" s="13"/>
      <c r="AE61" s="13"/>
      <c r="AF61" s="13"/>
      <c r="AG61" s="13">
        <v>0</v>
      </c>
      <c r="AH61" s="13">
        <v>0</v>
      </c>
      <c r="AI61" s="13"/>
      <c r="AJ61" s="13"/>
      <c r="AK61" s="13"/>
      <c r="AL61" s="13">
        <v>0</v>
      </c>
      <c r="AM61" s="13">
        <v>0</v>
      </c>
      <c r="AN61" s="13"/>
      <c r="AO61" s="13"/>
      <c r="AP61" s="13"/>
      <c r="AQ61" s="13">
        <v>0</v>
      </c>
    </row>
    <row r="62" spans="1:43" ht="35.1" customHeight="1">
      <c r="A62" s="40"/>
      <c r="B62" s="25"/>
      <c r="C62" s="259"/>
      <c r="D62" s="254"/>
      <c r="E62" s="254"/>
      <c r="F62" s="13"/>
      <c r="G62" s="13"/>
      <c r="H62" s="13"/>
      <c r="I62" s="260" t="s">
        <v>916</v>
      </c>
      <c r="J62" s="261" t="s">
        <v>825</v>
      </c>
      <c r="K62" s="262" t="s">
        <v>917</v>
      </c>
      <c r="L62" s="24"/>
      <c r="M62" s="24" t="s">
        <v>111</v>
      </c>
      <c r="N62" s="255">
        <f t="shared" si="26"/>
        <v>3600</v>
      </c>
      <c r="O62" s="255">
        <f t="shared" si="26"/>
        <v>0</v>
      </c>
      <c r="P62" s="13"/>
      <c r="Q62" s="13"/>
      <c r="R62" s="13"/>
      <c r="S62" s="13"/>
      <c r="T62" s="13"/>
      <c r="U62" s="13"/>
      <c r="V62" s="13">
        <v>3600</v>
      </c>
      <c r="W62" s="13">
        <v>0</v>
      </c>
      <c r="X62" s="13">
        <f t="shared" si="27"/>
        <v>0</v>
      </c>
      <c r="Y62" s="13"/>
      <c r="Z62" s="13"/>
      <c r="AA62" s="13"/>
      <c r="AB62" s="13">
        <v>0</v>
      </c>
      <c r="AC62" s="13">
        <v>0</v>
      </c>
      <c r="AD62" s="13"/>
      <c r="AE62" s="13"/>
      <c r="AF62" s="13"/>
      <c r="AG62" s="13">
        <v>0</v>
      </c>
      <c r="AH62" s="13">
        <v>0</v>
      </c>
      <c r="AI62" s="13"/>
      <c r="AJ62" s="13"/>
      <c r="AK62" s="13"/>
      <c r="AL62" s="13">
        <v>0</v>
      </c>
      <c r="AM62" s="13">
        <v>0</v>
      </c>
      <c r="AN62" s="13"/>
      <c r="AO62" s="13"/>
      <c r="AP62" s="13"/>
      <c r="AQ62" s="13">
        <v>0</v>
      </c>
    </row>
    <row r="63" spans="1:43" ht="35.1" customHeight="1">
      <c r="A63" s="13"/>
      <c r="B63" s="25"/>
      <c r="C63" s="45" t="s">
        <v>604</v>
      </c>
      <c r="D63" s="45" t="s">
        <v>97</v>
      </c>
      <c r="E63" s="45" t="s">
        <v>799</v>
      </c>
      <c r="F63" s="45" t="s">
        <v>605</v>
      </c>
      <c r="G63" s="45" t="s">
        <v>606</v>
      </c>
      <c r="H63" s="45" t="s">
        <v>607</v>
      </c>
      <c r="I63" s="45" t="s">
        <v>824</v>
      </c>
      <c r="J63" s="179" t="s">
        <v>825</v>
      </c>
      <c r="K63" s="179" t="s">
        <v>826</v>
      </c>
      <c r="L63" s="13"/>
      <c r="M63" s="24" t="s">
        <v>112</v>
      </c>
      <c r="N63" s="255">
        <f t="shared" si="26"/>
        <v>7139.6</v>
      </c>
      <c r="O63" s="255">
        <f>Q63+S63+U63+W63</f>
        <v>6912.6</v>
      </c>
      <c r="P63" s="13">
        <f>1048.1-79.3</f>
        <v>968.8</v>
      </c>
      <c r="Q63" s="13">
        <v>968.8</v>
      </c>
      <c r="R63" s="13">
        <f>3430.3-259.5</f>
        <v>3170.8</v>
      </c>
      <c r="S63" s="13">
        <v>3170.8</v>
      </c>
      <c r="T63" s="13"/>
      <c r="U63" s="13"/>
      <c r="V63" s="13">
        <v>3000</v>
      </c>
      <c r="W63" s="13">
        <v>2773</v>
      </c>
      <c r="X63" s="13">
        <f>Y63+Z63+AA63+AB63</f>
        <v>3000</v>
      </c>
      <c r="Y63" s="13">
        <v>0</v>
      </c>
      <c r="Z63" s="13">
        <v>0</v>
      </c>
      <c r="AA63" s="13"/>
      <c r="AB63" s="13">
        <v>3000</v>
      </c>
      <c r="AC63" s="13">
        <f>AD63+AE63+AF63+AG63</f>
        <v>3000</v>
      </c>
      <c r="AD63" s="13"/>
      <c r="AE63" s="13"/>
      <c r="AF63" s="13"/>
      <c r="AG63" s="13">
        <v>3000</v>
      </c>
      <c r="AH63" s="13">
        <f>AI63+AJ63+AK63+AL63</f>
        <v>3000</v>
      </c>
      <c r="AI63" s="13"/>
      <c r="AJ63" s="13"/>
      <c r="AK63" s="13"/>
      <c r="AL63" s="13">
        <f>3000</f>
        <v>3000</v>
      </c>
      <c r="AM63" s="13">
        <f>AN63+AO63+AP63+AQ63</f>
        <v>3000</v>
      </c>
      <c r="AN63" s="13"/>
      <c r="AO63" s="13"/>
      <c r="AP63" s="13"/>
      <c r="AQ63" s="13">
        <f>3000</f>
        <v>3000</v>
      </c>
    </row>
    <row r="64" spans="1:43" ht="35.1" customHeight="1" thickBot="1">
      <c r="A64" s="17" t="s">
        <v>113</v>
      </c>
      <c r="B64" s="18">
        <v>2511</v>
      </c>
      <c r="C64" s="48"/>
      <c r="D64" s="49"/>
      <c r="E64" s="49"/>
      <c r="F64" s="49"/>
      <c r="G64" s="49"/>
      <c r="H64" s="49"/>
      <c r="I64" s="49"/>
      <c r="J64" s="49"/>
      <c r="K64" s="49"/>
      <c r="L64" s="49">
        <v>4</v>
      </c>
      <c r="M64" s="20"/>
      <c r="N64" s="20">
        <f>N65+N66</f>
        <v>27000.1</v>
      </c>
      <c r="O64" s="20">
        <f t="shared" ref="O64:AQ64" si="28">O65+O66</f>
        <v>26999.8</v>
      </c>
      <c r="P64" s="20">
        <f t="shared" si="28"/>
        <v>0</v>
      </c>
      <c r="Q64" s="20">
        <f t="shared" si="28"/>
        <v>0</v>
      </c>
      <c r="R64" s="20">
        <f t="shared" si="28"/>
        <v>0</v>
      </c>
      <c r="S64" s="20">
        <f t="shared" si="28"/>
        <v>0</v>
      </c>
      <c r="T64" s="20">
        <f t="shared" si="28"/>
        <v>0</v>
      </c>
      <c r="U64" s="20">
        <f t="shared" si="28"/>
        <v>0</v>
      </c>
      <c r="V64" s="20">
        <f t="shared" si="28"/>
        <v>27000.1</v>
      </c>
      <c r="W64" s="20">
        <f t="shared" si="28"/>
        <v>26999.8</v>
      </c>
      <c r="X64" s="20">
        <f t="shared" si="28"/>
        <v>30885.399999999998</v>
      </c>
      <c r="Y64" s="20">
        <f t="shared" si="28"/>
        <v>0</v>
      </c>
      <c r="Z64" s="20">
        <f t="shared" si="28"/>
        <v>0</v>
      </c>
      <c r="AA64" s="20">
        <f t="shared" si="28"/>
        <v>0</v>
      </c>
      <c r="AB64" s="20">
        <f t="shared" si="28"/>
        <v>30885.399999999998</v>
      </c>
      <c r="AC64" s="20">
        <f t="shared" si="28"/>
        <v>30885.399999999998</v>
      </c>
      <c r="AD64" s="20">
        <f t="shared" si="28"/>
        <v>0</v>
      </c>
      <c r="AE64" s="20">
        <f t="shared" si="28"/>
        <v>0</v>
      </c>
      <c r="AF64" s="20">
        <f t="shared" si="28"/>
        <v>0</v>
      </c>
      <c r="AG64" s="20">
        <f t="shared" si="28"/>
        <v>30885.399999999998</v>
      </c>
      <c r="AH64" s="20">
        <f t="shared" si="28"/>
        <v>30885.399999999998</v>
      </c>
      <c r="AI64" s="20">
        <f t="shared" si="28"/>
        <v>0</v>
      </c>
      <c r="AJ64" s="20">
        <f t="shared" si="28"/>
        <v>0</v>
      </c>
      <c r="AK64" s="20">
        <f t="shared" si="28"/>
        <v>0</v>
      </c>
      <c r="AL64" s="20">
        <f t="shared" si="28"/>
        <v>30885.399999999998</v>
      </c>
      <c r="AM64" s="20">
        <f t="shared" si="28"/>
        <v>30885.399999999998</v>
      </c>
      <c r="AN64" s="20">
        <f t="shared" si="28"/>
        <v>0</v>
      </c>
      <c r="AO64" s="20">
        <f t="shared" si="28"/>
        <v>0</v>
      </c>
      <c r="AP64" s="20">
        <f t="shared" si="28"/>
        <v>0</v>
      </c>
      <c r="AQ64" s="20">
        <f t="shared" si="28"/>
        <v>30885.399999999998</v>
      </c>
    </row>
    <row r="65" spans="1:43" ht="35.1" customHeight="1" thickBot="1">
      <c r="A65" s="17"/>
      <c r="B65" s="18"/>
      <c r="C65" s="195" t="s">
        <v>31</v>
      </c>
      <c r="D65" s="217" t="s">
        <v>85</v>
      </c>
      <c r="E65" s="216" t="s">
        <v>86</v>
      </c>
      <c r="F65" s="26" t="s">
        <v>875</v>
      </c>
      <c r="G65" s="26" t="s">
        <v>114</v>
      </c>
      <c r="H65" s="26" t="s">
        <v>876</v>
      </c>
      <c r="I65" s="71" t="s">
        <v>721</v>
      </c>
      <c r="J65" s="45" t="s">
        <v>854</v>
      </c>
      <c r="K65" s="179" t="s">
        <v>717</v>
      </c>
      <c r="L65" s="50"/>
      <c r="M65" s="24" t="s">
        <v>115</v>
      </c>
      <c r="N65" s="13">
        <f t="shared" ref="N65:O66" si="29">+P65+R65+T65+V65</f>
        <v>0.1</v>
      </c>
      <c r="O65" s="13">
        <f t="shared" si="29"/>
        <v>0</v>
      </c>
      <c r="P65" s="13"/>
      <c r="Q65" s="13"/>
      <c r="R65" s="13"/>
      <c r="S65" s="13"/>
      <c r="T65" s="13"/>
      <c r="U65" s="13"/>
      <c r="V65" s="20">
        <v>0.1</v>
      </c>
      <c r="W65" s="13">
        <v>0</v>
      </c>
      <c r="X65" s="13">
        <f>Y65+Z65+AA65+AB65</f>
        <v>0.1</v>
      </c>
      <c r="Y65" s="13"/>
      <c r="Z65" s="13"/>
      <c r="AA65" s="13"/>
      <c r="AB65" s="13">
        <v>0.1</v>
      </c>
      <c r="AC65" s="20">
        <f>AD65+AE65+AF65+AG65</f>
        <v>0.1</v>
      </c>
      <c r="AD65" s="20"/>
      <c r="AE65" s="20"/>
      <c r="AF65" s="20"/>
      <c r="AG65" s="20">
        <v>0.1</v>
      </c>
      <c r="AH65" s="20">
        <f>AI65+AJ65+AK65+AL65</f>
        <v>0.1</v>
      </c>
      <c r="AI65" s="20"/>
      <c r="AJ65" s="20"/>
      <c r="AK65" s="20"/>
      <c r="AL65" s="20">
        <v>0.1</v>
      </c>
      <c r="AM65" s="20">
        <f>AN65+AO65+AP65+AQ65</f>
        <v>0.1</v>
      </c>
      <c r="AN65" s="20"/>
      <c r="AO65" s="20"/>
      <c r="AP65" s="20"/>
      <c r="AQ65" s="20">
        <v>0.1</v>
      </c>
    </row>
    <row r="66" spans="1:43" ht="35.1" customHeight="1" thickBot="1">
      <c r="A66" s="17"/>
      <c r="B66" s="31"/>
      <c r="C66" s="196"/>
      <c r="D66" s="239"/>
      <c r="E66" s="219"/>
      <c r="F66" s="26"/>
      <c r="G66" s="26"/>
      <c r="H66" s="26"/>
      <c r="I66" s="207" t="s">
        <v>877</v>
      </c>
      <c r="J66" s="207" t="s">
        <v>97</v>
      </c>
      <c r="K66" s="45" t="s">
        <v>878</v>
      </c>
      <c r="L66" s="13"/>
      <c r="M66" s="24" t="s">
        <v>116</v>
      </c>
      <c r="N66" s="13">
        <f t="shared" si="29"/>
        <v>27000</v>
      </c>
      <c r="O66" s="13">
        <f t="shared" si="29"/>
        <v>26999.8</v>
      </c>
      <c r="P66" s="13"/>
      <c r="Q66" s="13"/>
      <c r="R66" s="13"/>
      <c r="S66" s="13"/>
      <c r="T66" s="13"/>
      <c r="U66" s="13"/>
      <c r="V66" s="13">
        <v>27000</v>
      </c>
      <c r="W66" s="13">
        <v>26999.8</v>
      </c>
      <c r="X66" s="13">
        <f>Y66+Z66+AA66+AB66</f>
        <v>30885.3</v>
      </c>
      <c r="Y66" s="13"/>
      <c r="Z66" s="13"/>
      <c r="AA66" s="13"/>
      <c r="AB66" s="13">
        <v>30885.3</v>
      </c>
      <c r="AC66" s="13">
        <f>AD66+AE66+AF66+AG66</f>
        <v>30885.3</v>
      </c>
      <c r="AD66" s="13"/>
      <c r="AE66" s="13"/>
      <c r="AF66" s="13"/>
      <c r="AG66" s="13">
        <v>30885.3</v>
      </c>
      <c r="AH66" s="13">
        <f>AI66+AJ66+AK66+AL66</f>
        <v>30885.3</v>
      </c>
      <c r="AI66" s="13"/>
      <c r="AJ66" s="13"/>
      <c r="AK66" s="13"/>
      <c r="AL66" s="13">
        <v>30885.3</v>
      </c>
      <c r="AM66" s="13">
        <f>AN66+AO66+AP66+AQ66</f>
        <v>30885.3</v>
      </c>
      <c r="AN66" s="13"/>
      <c r="AO66" s="13"/>
      <c r="AP66" s="13"/>
      <c r="AQ66" s="13">
        <v>30885.3</v>
      </c>
    </row>
    <row r="67" spans="1:43" ht="35.1" customHeight="1">
      <c r="A67" s="36" t="s">
        <v>117</v>
      </c>
      <c r="B67" s="37">
        <v>2517</v>
      </c>
      <c r="C67" s="38"/>
      <c r="D67" s="39"/>
      <c r="E67" s="39"/>
      <c r="F67" s="26"/>
      <c r="G67" s="12"/>
      <c r="H67" s="12"/>
      <c r="I67" s="39"/>
      <c r="J67" s="39"/>
      <c r="K67" s="39"/>
      <c r="L67" s="20">
        <v>12</v>
      </c>
      <c r="M67" s="20"/>
      <c r="N67" s="20">
        <f t="shared" ref="N67:AQ67" si="30">N68+N69+N70+N71+N72</f>
        <v>86439.4</v>
      </c>
      <c r="O67" s="20">
        <f t="shared" si="30"/>
        <v>250.3</v>
      </c>
      <c r="P67" s="20">
        <f t="shared" si="30"/>
        <v>0</v>
      </c>
      <c r="Q67" s="20">
        <f t="shared" si="30"/>
        <v>0</v>
      </c>
      <c r="R67" s="20">
        <f t="shared" si="30"/>
        <v>0</v>
      </c>
      <c r="S67" s="20">
        <f t="shared" si="30"/>
        <v>0</v>
      </c>
      <c r="T67" s="20">
        <f t="shared" si="30"/>
        <v>0</v>
      </c>
      <c r="U67" s="20">
        <f t="shared" si="30"/>
        <v>0</v>
      </c>
      <c r="V67" s="20">
        <f t="shared" si="30"/>
        <v>86439.4</v>
      </c>
      <c r="W67" s="20">
        <f t="shared" si="30"/>
        <v>250.3</v>
      </c>
      <c r="X67" s="20">
        <f t="shared" si="30"/>
        <v>86969.5</v>
      </c>
      <c r="Y67" s="20">
        <f t="shared" si="30"/>
        <v>0</v>
      </c>
      <c r="Z67" s="20">
        <f t="shared" si="30"/>
        <v>0</v>
      </c>
      <c r="AA67" s="20">
        <f t="shared" si="30"/>
        <v>0</v>
      </c>
      <c r="AB67" s="20">
        <f t="shared" si="30"/>
        <v>86969.5</v>
      </c>
      <c r="AC67" s="20">
        <f t="shared" si="30"/>
        <v>5100</v>
      </c>
      <c r="AD67" s="20">
        <f t="shared" si="30"/>
        <v>0</v>
      </c>
      <c r="AE67" s="20">
        <f t="shared" si="30"/>
        <v>0</v>
      </c>
      <c r="AF67" s="20">
        <f t="shared" si="30"/>
        <v>0</v>
      </c>
      <c r="AG67" s="20">
        <f t="shared" si="30"/>
        <v>5100</v>
      </c>
      <c r="AH67" s="20">
        <f t="shared" si="30"/>
        <v>5100</v>
      </c>
      <c r="AI67" s="20">
        <f t="shared" si="30"/>
        <v>0</v>
      </c>
      <c r="AJ67" s="20">
        <f t="shared" si="30"/>
        <v>0</v>
      </c>
      <c r="AK67" s="20">
        <f t="shared" si="30"/>
        <v>0</v>
      </c>
      <c r="AL67" s="20">
        <f t="shared" si="30"/>
        <v>5100</v>
      </c>
      <c r="AM67" s="20">
        <f t="shared" si="30"/>
        <v>5100</v>
      </c>
      <c r="AN67" s="20">
        <f t="shared" si="30"/>
        <v>0</v>
      </c>
      <c r="AO67" s="20">
        <f t="shared" si="30"/>
        <v>0</v>
      </c>
      <c r="AP67" s="20">
        <f t="shared" si="30"/>
        <v>0</v>
      </c>
      <c r="AQ67" s="20">
        <f t="shared" si="30"/>
        <v>5100</v>
      </c>
    </row>
    <row r="68" spans="1:43" ht="35.1" customHeight="1">
      <c r="A68" s="180"/>
      <c r="B68" s="25"/>
      <c r="C68" s="252"/>
      <c r="D68" s="252"/>
      <c r="E68" s="252"/>
      <c r="F68" s="252"/>
      <c r="G68" s="252"/>
      <c r="H68" s="252"/>
      <c r="I68" s="45" t="s">
        <v>127</v>
      </c>
      <c r="J68" s="24" t="s">
        <v>97</v>
      </c>
      <c r="K68" s="24" t="s">
        <v>768</v>
      </c>
      <c r="L68" s="13"/>
      <c r="M68" s="33" t="s">
        <v>120</v>
      </c>
      <c r="N68" s="13">
        <f>P68+R68+T68+V68</f>
        <v>3508.5</v>
      </c>
      <c r="O68" s="13">
        <f>Q68+S68+U68+W68</f>
        <v>0</v>
      </c>
      <c r="P68" s="13"/>
      <c r="Q68" s="13"/>
      <c r="R68" s="13"/>
      <c r="S68" s="13"/>
      <c r="T68" s="13"/>
      <c r="U68" s="13"/>
      <c r="V68" s="13">
        <f>5000+10000-15-6405.4-3541.1-1500-30</f>
        <v>3508.5</v>
      </c>
      <c r="W68" s="13">
        <v>0</v>
      </c>
      <c r="X68" s="13">
        <f>AB68</f>
        <v>5330.3</v>
      </c>
      <c r="Y68" s="13"/>
      <c r="Z68" s="13"/>
      <c r="AA68" s="13"/>
      <c r="AB68" s="13">
        <v>5330.3</v>
      </c>
      <c r="AC68" s="13">
        <f>AG68</f>
        <v>5000</v>
      </c>
      <c r="AD68" s="13"/>
      <c r="AE68" s="13"/>
      <c r="AF68" s="13"/>
      <c r="AG68" s="13">
        <v>5000</v>
      </c>
      <c r="AH68" s="13">
        <f>AI68+AJ68+AK68+AL68</f>
        <v>5000</v>
      </c>
      <c r="AI68" s="13"/>
      <c r="AJ68" s="13"/>
      <c r="AK68" s="13"/>
      <c r="AL68" s="13">
        <v>5000</v>
      </c>
      <c r="AM68" s="13">
        <f>AN68+AO68+AP68+AQ68</f>
        <v>5000</v>
      </c>
      <c r="AN68" s="13"/>
      <c r="AO68" s="13"/>
      <c r="AP68" s="13"/>
      <c r="AQ68" s="13">
        <v>5000</v>
      </c>
    </row>
    <row r="69" spans="1:43" ht="35.1" customHeight="1">
      <c r="A69" s="180"/>
      <c r="B69" s="25"/>
      <c r="C69" s="24"/>
      <c r="D69" s="24"/>
      <c r="E69" s="51"/>
      <c r="F69" s="252"/>
      <c r="G69" s="252"/>
      <c r="H69" s="252"/>
      <c r="I69" s="252"/>
      <c r="J69" s="252"/>
      <c r="K69" s="252"/>
      <c r="L69" s="13"/>
      <c r="M69" s="33" t="s">
        <v>126</v>
      </c>
      <c r="N69" s="13">
        <f>V69</f>
        <v>82518.099999999991</v>
      </c>
      <c r="O69" s="13">
        <f t="shared" ref="O69:O72" si="31">Q69+S69+U69+W69</f>
        <v>0</v>
      </c>
      <c r="P69" s="13"/>
      <c r="Q69" s="13"/>
      <c r="R69" s="13"/>
      <c r="S69" s="13"/>
      <c r="T69" s="13"/>
      <c r="U69" s="13"/>
      <c r="V69" s="13">
        <f>69770.2-17934.2-17986.5-24340.9-497.3+0.1-150+2473+389.9+71120.9-327.1</f>
        <v>82518.099999999991</v>
      </c>
      <c r="W69" s="13">
        <v>0</v>
      </c>
      <c r="X69" s="13">
        <f>AB69</f>
        <v>81539.199999999997</v>
      </c>
      <c r="Y69" s="13"/>
      <c r="Z69" s="13"/>
      <c r="AA69" s="13"/>
      <c r="AB69" s="13">
        <v>81539.199999999997</v>
      </c>
      <c r="AC69" s="13">
        <f>AG69</f>
        <v>0</v>
      </c>
      <c r="AD69" s="13"/>
      <c r="AE69" s="13"/>
      <c r="AF69" s="13"/>
      <c r="AG69" s="13">
        <v>0</v>
      </c>
      <c r="AH69" s="13">
        <f>AI69+AJ69+AK69+AL69</f>
        <v>0</v>
      </c>
      <c r="AI69" s="13"/>
      <c r="AJ69" s="13"/>
      <c r="AK69" s="13"/>
      <c r="AL69" s="13"/>
      <c r="AM69" s="13">
        <f>AN69+AO69+AP69+AQ69</f>
        <v>0</v>
      </c>
      <c r="AN69" s="13"/>
      <c r="AO69" s="13"/>
      <c r="AP69" s="13"/>
      <c r="AQ69" s="13"/>
    </row>
    <row r="70" spans="1:43" ht="85.5" customHeight="1">
      <c r="A70" s="180"/>
      <c r="B70" s="25"/>
      <c r="C70" s="45" t="s">
        <v>118</v>
      </c>
      <c r="D70" s="45" t="s">
        <v>772</v>
      </c>
      <c r="E70" s="24" t="s">
        <v>86</v>
      </c>
      <c r="F70" s="23" t="s">
        <v>769</v>
      </c>
      <c r="G70" s="23" t="s">
        <v>97</v>
      </c>
      <c r="H70" s="23" t="s">
        <v>770</v>
      </c>
      <c r="I70" s="45" t="s">
        <v>721</v>
      </c>
      <c r="J70" s="45" t="s">
        <v>771</v>
      </c>
      <c r="K70" s="179" t="s">
        <v>717</v>
      </c>
      <c r="L70" s="13"/>
      <c r="M70" s="33" t="s">
        <v>131</v>
      </c>
      <c r="N70" s="13">
        <f>V70</f>
        <v>300</v>
      </c>
      <c r="O70" s="13">
        <f t="shared" si="31"/>
        <v>237.5</v>
      </c>
      <c r="P70" s="13"/>
      <c r="Q70" s="13"/>
      <c r="R70" s="13"/>
      <c r="S70" s="13"/>
      <c r="T70" s="13"/>
      <c r="U70" s="13"/>
      <c r="V70" s="13">
        <f>100+200</f>
        <v>300</v>
      </c>
      <c r="W70" s="13">
        <v>237.5</v>
      </c>
      <c r="X70" s="13">
        <f>AB70</f>
        <v>100</v>
      </c>
      <c r="Y70" s="13"/>
      <c r="Z70" s="13"/>
      <c r="AA70" s="13"/>
      <c r="AB70" s="13">
        <v>100</v>
      </c>
      <c r="AC70" s="13">
        <f>AG70</f>
        <v>100</v>
      </c>
      <c r="AD70" s="13"/>
      <c r="AE70" s="13"/>
      <c r="AF70" s="13"/>
      <c r="AG70" s="13">
        <v>100</v>
      </c>
      <c r="AH70" s="13">
        <f t="shared" ref="AH70:AH71" si="32">AI70+AJ70+AK70+AL70</f>
        <v>100</v>
      </c>
      <c r="AI70" s="13"/>
      <c r="AJ70" s="13"/>
      <c r="AK70" s="13"/>
      <c r="AL70" s="13">
        <v>100</v>
      </c>
      <c r="AM70" s="13">
        <f>AN70+AO70+AP70+AQ70</f>
        <v>100</v>
      </c>
      <c r="AN70" s="13"/>
      <c r="AO70" s="13"/>
      <c r="AP70" s="13"/>
      <c r="AQ70" s="13">
        <v>100</v>
      </c>
    </row>
    <row r="71" spans="1:43" ht="61.5" customHeight="1">
      <c r="A71" s="40"/>
      <c r="B71" s="25"/>
      <c r="C71" s="23" t="s">
        <v>128</v>
      </c>
      <c r="D71" s="23" t="s">
        <v>129</v>
      </c>
      <c r="E71" s="23" t="s">
        <v>130</v>
      </c>
      <c r="F71" s="23" t="s">
        <v>121</v>
      </c>
      <c r="G71" s="23" t="s">
        <v>122</v>
      </c>
      <c r="H71" s="23" t="s">
        <v>123</v>
      </c>
      <c r="I71" s="24" t="s">
        <v>124</v>
      </c>
      <c r="J71" s="24" t="s">
        <v>125</v>
      </c>
      <c r="K71" s="24" t="s">
        <v>97</v>
      </c>
      <c r="L71" s="13"/>
      <c r="M71" s="33" t="s">
        <v>132</v>
      </c>
      <c r="N71" s="13">
        <f>V71</f>
        <v>100</v>
      </c>
      <c r="O71" s="13">
        <f t="shared" si="31"/>
        <v>0</v>
      </c>
      <c r="P71" s="13"/>
      <c r="Q71" s="13"/>
      <c r="R71" s="13"/>
      <c r="S71" s="13"/>
      <c r="T71" s="13"/>
      <c r="U71" s="13"/>
      <c r="V71" s="13">
        <v>100</v>
      </c>
      <c r="W71" s="13">
        <v>0</v>
      </c>
      <c r="X71" s="13">
        <f>AB71</f>
        <v>0</v>
      </c>
      <c r="Y71" s="13"/>
      <c r="Z71" s="13"/>
      <c r="AA71" s="13"/>
      <c r="AB71" s="13">
        <v>0</v>
      </c>
      <c r="AC71" s="13">
        <f>AG71</f>
        <v>0</v>
      </c>
      <c r="AD71" s="13"/>
      <c r="AE71" s="13"/>
      <c r="AF71" s="13"/>
      <c r="AG71" s="13">
        <v>0</v>
      </c>
      <c r="AH71" s="13">
        <f t="shared" si="32"/>
        <v>0</v>
      </c>
      <c r="AI71" s="13"/>
      <c r="AJ71" s="13"/>
      <c r="AK71" s="13"/>
      <c r="AL71" s="13">
        <v>0</v>
      </c>
      <c r="AM71" s="13">
        <f>AN71+AO71+AP71+AQ71</f>
        <v>0</v>
      </c>
      <c r="AN71" s="13"/>
      <c r="AO71" s="13"/>
      <c r="AP71" s="13"/>
      <c r="AQ71" s="13">
        <v>0</v>
      </c>
    </row>
    <row r="72" spans="1:43" ht="35.1" customHeight="1">
      <c r="A72" s="40"/>
      <c r="B72" s="25"/>
      <c r="C72" s="58"/>
      <c r="D72" s="13"/>
      <c r="E72" s="13"/>
      <c r="F72" s="13"/>
      <c r="G72" s="13"/>
      <c r="H72" s="13"/>
      <c r="I72" s="26"/>
      <c r="J72" s="13"/>
      <c r="K72" s="13"/>
      <c r="L72" s="13"/>
      <c r="M72" s="33" t="s">
        <v>133</v>
      </c>
      <c r="N72" s="13">
        <f>V72</f>
        <v>12.8</v>
      </c>
      <c r="O72" s="13">
        <f t="shared" si="31"/>
        <v>12.8</v>
      </c>
      <c r="P72" s="13"/>
      <c r="Q72" s="13"/>
      <c r="R72" s="13"/>
      <c r="S72" s="13"/>
      <c r="T72" s="13"/>
      <c r="U72" s="13"/>
      <c r="V72" s="13">
        <v>12.8</v>
      </c>
      <c r="W72" s="13">
        <v>12.8</v>
      </c>
      <c r="X72" s="13">
        <f>AB72</f>
        <v>0</v>
      </c>
      <c r="Y72" s="13"/>
      <c r="Z72" s="13"/>
      <c r="AA72" s="13"/>
      <c r="AB72" s="13">
        <v>0</v>
      </c>
      <c r="AC72" s="13">
        <v>0</v>
      </c>
      <c r="AD72" s="13"/>
      <c r="AE72" s="13"/>
      <c r="AF72" s="13"/>
      <c r="AG72" s="13">
        <v>0</v>
      </c>
      <c r="AH72" s="13">
        <v>0</v>
      </c>
      <c r="AI72" s="13"/>
      <c r="AJ72" s="13"/>
      <c r="AK72" s="13"/>
      <c r="AL72" s="13">
        <v>0</v>
      </c>
      <c r="AM72" s="13">
        <v>0</v>
      </c>
      <c r="AN72" s="13"/>
      <c r="AO72" s="13"/>
      <c r="AP72" s="13"/>
      <c r="AQ72" s="13">
        <v>0</v>
      </c>
    </row>
    <row r="73" spans="1:43" ht="35.1" customHeight="1">
      <c r="A73" s="59" t="s">
        <v>134</v>
      </c>
      <c r="B73" s="44">
        <v>2520</v>
      </c>
      <c r="C73" s="60"/>
      <c r="D73" s="20"/>
      <c r="E73" s="20"/>
      <c r="F73" s="20"/>
      <c r="G73" s="20"/>
      <c r="H73" s="20"/>
      <c r="I73" s="20"/>
      <c r="J73" s="20"/>
      <c r="K73" s="20"/>
      <c r="L73" s="20">
        <v>12</v>
      </c>
      <c r="M73" s="20"/>
      <c r="N73" s="20">
        <f>N74+N75+N76</f>
        <v>1015.6999999999999</v>
      </c>
      <c r="O73" s="20">
        <f t="shared" ref="O73:AQ73" si="33">O74+O75+O76</f>
        <v>959.8</v>
      </c>
      <c r="P73" s="20">
        <f t="shared" si="33"/>
        <v>0</v>
      </c>
      <c r="Q73" s="20">
        <f t="shared" si="33"/>
        <v>0</v>
      </c>
      <c r="R73" s="20">
        <f t="shared" si="33"/>
        <v>822.4</v>
      </c>
      <c r="S73" s="20">
        <f t="shared" si="33"/>
        <v>822.4</v>
      </c>
      <c r="T73" s="20">
        <f t="shared" si="33"/>
        <v>0</v>
      </c>
      <c r="U73" s="20">
        <f t="shared" si="33"/>
        <v>0</v>
      </c>
      <c r="V73" s="20">
        <f t="shared" si="33"/>
        <v>193.3</v>
      </c>
      <c r="W73" s="20">
        <f t="shared" si="33"/>
        <v>137.39999999999998</v>
      </c>
      <c r="X73" s="20">
        <f t="shared" si="33"/>
        <v>100</v>
      </c>
      <c r="Y73" s="20">
        <f t="shared" si="33"/>
        <v>0</v>
      </c>
      <c r="Z73" s="20">
        <f t="shared" si="33"/>
        <v>0</v>
      </c>
      <c r="AA73" s="20">
        <f t="shared" si="33"/>
        <v>0</v>
      </c>
      <c r="AB73" s="20">
        <f t="shared" si="33"/>
        <v>100</v>
      </c>
      <c r="AC73" s="20">
        <f t="shared" si="33"/>
        <v>100</v>
      </c>
      <c r="AD73" s="20">
        <f t="shared" si="33"/>
        <v>0</v>
      </c>
      <c r="AE73" s="20">
        <f t="shared" si="33"/>
        <v>0</v>
      </c>
      <c r="AF73" s="20">
        <f t="shared" si="33"/>
        <v>0</v>
      </c>
      <c r="AG73" s="20">
        <f t="shared" si="33"/>
        <v>100</v>
      </c>
      <c r="AH73" s="20">
        <f t="shared" si="33"/>
        <v>100</v>
      </c>
      <c r="AI73" s="20">
        <f t="shared" si="33"/>
        <v>0</v>
      </c>
      <c r="AJ73" s="20">
        <f t="shared" si="33"/>
        <v>0</v>
      </c>
      <c r="AK73" s="20">
        <f t="shared" si="33"/>
        <v>0</v>
      </c>
      <c r="AL73" s="20">
        <f t="shared" si="33"/>
        <v>100</v>
      </c>
      <c r="AM73" s="20">
        <f t="shared" si="33"/>
        <v>100</v>
      </c>
      <c r="AN73" s="20">
        <f t="shared" si="33"/>
        <v>0</v>
      </c>
      <c r="AO73" s="20">
        <f t="shared" si="33"/>
        <v>0</v>
      </c>
      <c r="AP73" s="20">
        <f t="shared" si="33"/>
        <v>0</v>
      </c>
      <c r="AQ73" s="20">
        <f t="shared" si="33"/>
        <v>100</v>
      </c>
    </row>
    <row r="74" spans="1:43" ht="35.1" customHeight="1">
      <c r="A74" s="40"/>
      <c r="B74" s="25"/>
      <c r="C74" s="23" t="s">
        <v>135</v>
      </c>
      <c r="D74" s="23" t="s">
        <v>136</v>
      </c>
      <c r="E74" s="23" t="s">
        <v>137</v>
      </c>
      <c r="F74" s="13"/>
      <c r="G74" s="13"/>
      <c r="H74" s="13"/>
      <c r="I74" s="71" t="s">
        <v>721</v>
      </c>
      <c r="J74" s="45" t="s">
        <v>773</v>
      </c>
      <c r="K74" s="179" t="s">
        <v>717</v>
      </c>
      <c r="L74" s="13"/>
      <c r="M74" s="24" t="s">
        <v>138</v>
      </c>
      <c r="N74" s="13">
        <f>P74+R74+T74+V74</f>
        <v>100</v>
      </c>
      <c r="O74" s="13">
        <f t="shared" ref="O74:O76" si="34">Q74+S74+U74+W74</f>
        <v>94.1</v>
      </c>
      <c r="P74" s="13"/>
      <c r="Q74" s="13"/>
      <c r="R74" s="13"/>
      <c r="S74" s="13"/>
      <c r="T74" s="13"/>
      <c r="U74" s="13"/>
      <c r="V74" s="13">
        <v>100</v>
      </c>
      <c r="W74" s="13">
        <v>94.1</v>
      </c>
      <c r="X74" s="13">
        <f>Y74+Z74+AA74+AB74</f>
        <v>100</v>
      </c>
      <c r="Y74" s="13"/>
      <c r="Z74" s="13"/>
      <c r="AA74" s="13"/>
      <c r="AB74" s="13">
        <v>100</v>
      </c>
      <c r="AC74" s="13">
        <f>AD74+AE74+AF74+AG74</f>
        <v>100</v>
      </c>
      <c r="AD74" s="13"/>
      <c r="AE74" s="13"/>
      <c r="AF74" s="13"/>
      <c r="AG74" s="13">
        <v>100</v>
      </c>
      <c r="AH74" s="13">
        <f>AI74+AJ74+AK74+AL74</f>
        <v>100</v>
      </c>
      <c r="AI74" s="13"/>
      <c r="AJ74" s="13"/>
      <c r="AK74" s="13"/>
      <c r="AL74" s="13">
        <v>100</v>
      </c>
      <c r="AM74" s="13">
        <f>AN74+AO74+AP74+AQ74</f>
        <v>100</v>
      </c>
      <c r="AN74" s="13"/>
      <c r="AO74" s="13"/>
      <c r="AP74" s="13"/>
      <c r="AQ74" s="13">
        <v>100</v>
      </c>
    </row>
    <row r="75" spans="1:43" ht="35.1" customHeight="1">
      <c r="A75" s="40"/>
      <c r="B75" s="25"/>
      <c r="C75" s="197" t="s">
        <v>31</v>
      </c>
      <c r="D75" s="217" t="s">
        <v>774</v>
      </c>
      <c r="E75" s="216" t="s">
        <v>775</v>
      </c>
      <c r="F75" s="13"/>
      <c r="G75" s="13"/>
      <c r="H75" s="13"/>
      <c r="I75" s="291" t="s">
        <v>901</v>
      </c>
      <c r="J75" s="45" t="s">
        <v>97</v>
      </c>
      <c r="K75" s="45" t="s">
        <v>902</v>
      </c>
      <c r="L75" s="13"/>
      <c r="M75" s="24" t="s">
        <v>139</v>
      </c>
      <c r="N75" s="13">
        <f>P75+R75+T75+V75</f>
        <v>865.69999999999993</v>
      </c>
      <c r="O75" s="13">
        <f t="shared" si="34"/>
        <v>865.69999999999993</v>
      </c>
      <c r="P75" s="13"/>
      <c r="Q75" s="13"/>
      <c r="R75" s="13">
        <v>822.4</v>
      </c>
      <c r="S75" s="13">
        <v>822.4</v>
      </c>
      <c r="T75" s="13"/>
      <c r="U75" s="13"/>
      <c r="V75" s="13">
        <v>43.3</v>
      </c>
      <c r="W75" s="13">
        <v>43.3</v>
      </c>
      <c r="X75" s="13">
        <f>Y75+Z75+AA75+AB75</f>
        <v>0</v>
      </c>
      <c r="Y75" s="13"/>
      <c r="Z75" s="13">
        <v>0</v>
      </c>
      <c r="AA75" s="13"/>
      <c r="AB75" s="13">
        <v>0</v>
      </c>
      <c r="AC75" s="13">
        <f>AD75+AE75+AF75+AG75</f>
        <v>0</v>
      </c>
      <c r="AD75" s="13"/>
      <c r="AE75" s="13">
        <v>0</v>
      </c>
      <c r="AF75" s="13"/>
      <c r="AG75" s="13">
        <v>0</v>
      </c>
      <c r="AH75" s="13">
        <f>AI75+AJ75+AK75+AL75</f>
        <v>0</v>
      </c>
      <c r="AI75" s="13"/>
      <c r="AJ75" s="13">
        <v>0</v>
      </c>
      <c r="AK75" s="13"/>
      <c r="AL75" s="13">
        <v>0</v>
      </c>
      <c r="AM75" s="13">
        <f>AN75+AO75+AP75+AQ75</f>
        <v>0</v>
      </c>
      <c r="AN75" s="13"/>
      <c r="AO75" s="13">
        <v>0</v>
      </c>
      <c r="AP75" s="13"/>
      <c r="AQ75" s="13">
        <v>0</v>
      </c>
    </row>
    <row r="76" spans="1:43" ht="35.1" customHeight="1">
      <c r="A76" s="40"/>
      <c r="B76" s="25"/>
      <c r="C76" s="58"/>
      <c r="D76" s="13"/>
      <c r="E76" s="13"/>
      <c r="F76" s="13"/>
      <c r="G76" s="13"/>
      <c r="H76" s="13"/>
      <c r="I76" s="313"/>
      <c r="J76" s="13"/>
      <c r="K76" s="13"/>
      <c r="L76" s="13"/>
      <c r="M76" s="24" t="s">
        <v>140</v>
      </c>
      <c r="N76" s="13">
        <f>P76+R76+T76+V76</f>
        <v>50</v>
      </c>
      <c r="O76" s="13">
        <f t="shared" si="34"/>
        <v>0</v>
      </c>
      <c r="P76" s="13"/>
      <c r="Q76" s="13"/>
      <c r="R76" s="13"/>
      <c r="S76" s="13"/>
      <c r="T76" s="13"/>
      <c r="U76" s="13"/>
      <c r="V76" s="13">
        <v>50</v>
      </c>
      <c r="W76" s="13">
        <v>0</v>
      </c>
      <c r="X76" s="13">
        <f>Y76+Z76+AA76+AB76</f>
        <v>0</v>
      </c>
      <c r="Y76" s="13"/>
      <c r="Z76" s="13"/>
      <c r="AA76" s="13"/>
      <c r="AB76" s="13">
        <v>0</v>
      </c>
      <c r="AC76" s="13">
        <f>AD76+AE76+AF76+AG76</f>
        <v>0</v>
      </c>
      <c r="AD76" s="13"/>
      <c r="AE76" s="13"/>
      <c r="AF76" s="13"/>
      <c r="AG76" s="13">
        <v>0</v>
      </c>
      <c r="AH76" s="13">
        <f>AI76+AJ76+AK76+AL76</f>
        <v>0</v>
      </c>
      <c r="AI76" s="13"/>
      <c r="AJ76" s="13"/>
      <c r="AK76" s="13"/>
      <c r="AL76" s="13">
        <v>0</v>
      </c>
      <c r="AM76" s="13">
        <f>AN76+AO76+AP76+AQ76</f>
        <v>0</v>
      </c>
      <c r="AN76" s="13"/>
      <c r="AO76" s="13"/>
      <c r="AP76" s="13"/>
      <c r="AQ76" s="13">
        <v>0</v>
      </c>
    </row>
    <row r="77" spans="1:43" ht="35.1" customHeight="1">
      <c r="A77" s="59" t="s">
        <v>141</v>
      </c>
      <c r="B77" s="44">
        <v>2522</v>
      </c>
      <c r="C77" s="60"/>
      <c r="D77" s="20"/>
      <c r="E77" s="20"/>
      <c r="F77" s="20"/>
      <c r="G77" s="20"/>
      <c r="H77" s="20"/>
      <c r="I77" s="20"/>
      <c r="J77" s="20"/>
      <c r="K77" s="20"/>
      <c r="L77" s="20">
        <v>6</v>
      </c>
      <c r="M77" s="20"/>
      <c r="N77" s="20">
        <f>N81+N82+N83+N84+N86+N87+N88+N90+N91+N92+N93+N85+N89+N78</f>
        <v>157202.59999999998</v>
      </c>
      <c r="O77" s="20">
        <f>O81+O82+O83+O84+O86+O87+O88+O90+O91+O92+O93+O85+O89+O78</f>
        <v>153954.80000000002</v>
      </c>
      <c r="P77" s="20">
        <f t="shared" ref="P77:AB77" si="35">P81+P82+P83+P84+P86+P87+P88+P90+P91+P92+P93+P85+P89+P78</f>
        <v>0</v>
      </c>
      <c r="Q77" s="20">
        <f t="shared" si="35"/>
        <v>0</v>
      </c>
      <c r="R77" s="20">
        <f t="shared" si="35"/>
        <v>1576</v>
      </c>
      <c r="S77" s="20">
        <f t="shared" si="35"/>
        <v>1576</v>
      </c>
      <c r="T77" s="20">
        <f t="shared" si="35"/>
        <v>0</v>
      </c>
      <c r="U77" s="20">
        <f t="shared" si="35"/>
        <v>0</v>
      </c>
      <c r="V77" s="20">
        <f t="shared" si="35"/>
        <v>155626.59999999998</v>
      </c>
      <c r="W77" s="20">
        <f t="shared" si="35"/>
        <v>152378.80000000002</v>
      </c>
      <c r="X77" s="20">
        <f t="shared" si="35"/>
        <v>152774.6</v>
      </c>
      <c r="Y77" s="20">
        <f t="shared" si="35"/>
        <v>0</v>
      </c>
      <c r="Z77" s="20">
        <f t="shared" si="35"/>
        <v>1298</v>
      </c>
      <c r="AA77" s="20">
        <f t="shared" si="35"/>
        <v>0</v>
      </c>
      <c r="AB77" s="20">
        <f t="shared" si="35"/>
        <v>151476.6</v>
      </c>
      <c r="AC77" s="20">
        <f>AC81+AC82+AC83+AC84+AC86+AC87+AC88+AC90+AC91+AC92+AC93+AC85+AC89+AC78+AC79+AC80</f>
        <v>225488.59999999998</v>
      </c>
      <c r="AD77" s="20">
        <f t="shared" ref="AD77:AQ77" si="36">AD81+AD82+AD83+AD84+AD86+AD87+AD88+AD90+AD91+AD92+AD93+AD85+AD89+AD78+AD79+AD80</f>
        <v>9024.7999999999993</v>
      </c>
      <c r="AE77" s="20">
        <f t="shared" si="36"/>
        <v>64259.899999999994</v>
      </c>
      <c r="AF77" s="20">
        <f t="shared" si="36"/>
        <v>0</v>
      </c>
      <c r="AG77" s="20">
        <f t="shared" si="36"/>
        <v>152203.90000000002</v>
      </c>
      <c r="AH77" s="20">
        <f t="shared" si="36"/>
        <v>152774.70000000001</v>
      </c>
      <c r="AI77" s="20">
        <f t="shared" si="36"/>
        <v>0</v>
      </c>
      <c r="AJ77" s="20">
        <f t="shared" si="36"/>
        <v>1298</v>
      </c>
      <c r="AK77" s="20">
        <f t="shared" si="36"/>
        <v>0</v>
      </c>
      <c r="AL77" s="20">
        <f t="shared" si="36"/>
        <v>151476.70000000001</v>
      </c>
      <c r="AM77" s="20">
        <f t="shared" si="36"/>
        <v>152774.70000000001</v>
      </c>
      <c r="AN77" s="20">
        <f t="shared" si="36"/>
        <v>0</v>
      </c>
      <c r="AO77" s="20">
        <f t="shared" si="36"/>
        <v>1298</v>
      </c>
      <c r="AP77" s="20">
        <f t="shared" si="36"/>
        <v>0</v>
      </c>
      <c r="AQ77" s="20">
        <f t="shared" si="36"/>
        <v>151476.70000000001</v>
      </c>
    </row>
    <row r="78" spans="1:43" ht="35.1" customHeight="1">
      <c r="A78" s="40"/>
      <c r="B78" s="61"/>
      <c r="C78" s="243" t="s">
        <v>103</v>
      </c>
      <c r="D78" s="243" t="s">
        <v>142</v>
      </c>
      <c r="E78" s="243" t="s">
        <v>143</v>
      </c>
      <c r="F78" s="23" t="s">
        <v>144</v>
      </c>
      <c r="G78" s="23" t="s">
        <v>35</v>
      </c>
      <c r="H78" s="23" t="s">
        <v>145</v>
      </c>
      <c r="I78" s="45" t="s">
        <v>37</v>
      </c>
      <c r="J78" s="45" t="s">
        <v>776</v>
      </c>
      <c r="K78" s="179" t="s">
        <v>730</v>
      </c>
      <c r="L78" s="13"/>
      <c r="M78" s="24" t="s">
        <v>150</v>
      </c>
      <c r="N78" s="13">
        <f>P78+R78+T78+V78</f>
        <v>1733.6</v>
      </c>
      <c r="O78" s="13">
        <f t="shared" ref="O78:O93" si="37">Q78+S78+U78+W78</f>
        <v>1733.6</v>
      </c>
      <c r="P78" s="13"/>
      <c r="Q78" s="13"/>
      <c r="R78" s="13">
        <v>1576</v>
      </c>
      <c r="S78" s="13">
        <v>1576</v>
      </c>
      <c r="T78" s="13"/>
      <c r="U78" s="13"/>
      <c r="V78" s="13">
        <v>157.6</v>
      </c>
      <c r="W78" s="13">
        <v>157.6</v>
      </c>
      <c r="X78" s="13">
        <f t="shared" ref="X78:X80" si="38">Y78+Z78+AA78+AB78</f>
        <v>1455.6</v>
      </c>
      <c r="Y78" s="13"/>
      <c r="Z78" s="13">
        <v>1298</v>
      </c>
      <c r="AA78" s="13"/>
      <c r="AB78" s="13">
        <v>157.6</v>
      </c>
      <c r="AC78" s="13">
        <f t="shared" ref="AC78:AC80" si="39">AD78+AE78+AF78+AG78</f>
        <v>1455.6</v>
      </c>
      <c r="AD78" s="13"/>
      <c r="AE78" s="13">
        <v>1298</v>
      </c>
      <c r="AF78" s="13"/>
      <c r="AG78" s="13">
        <v>157.6</v>
      </c>
      <c r="AH78" s="13">
        <f>AI78+AJ78+AK78+AL78</f>
        <v>1455.6</v>
      </c>
      <c r="AI78" s="13"/>
      <c r="AJ78" s="13">
        <v>1298</v>
      </c>
      <c r="AK78" s="13"/>
      <c r="AL78" s="13">
        <v>157.6</v>
      </c>
      <c r="AM78" s="13">
        <f>AN78+AO78+AP78+AQ78</f>
        <v>1455.6</v>
      </c>
      <c r="AN78" s="13"/>
      <c r="AO78" s="13">
        <v>1298</v>
      </c>
      <c r="AP78" s="13"/>
      <c r="AQ78" s="13">
        <v>157.6</v>
      </c>
    </row>
    <row r="79" spans="1:43" ht="35.1" customHeight="1">
      <c r="A79" s="40"/>
      <c r="B79" s="61"/>
      <c r="C79" s="228"/>
      <c r="D79" s="228"/>
      <c r="E79" s="228"/>
      <c r="F79" s="207" t="s">
        <v>146</v>
      </c>
      <c r="G79" s="213" t="s">
        <v>147</v>
      </c>
      <c r="H79" s="213" t="s">
        <v>148</v>
      </c>
      <c r="I79" s="62" t="s">
        <v>149</v>
      </c>
      <c r="J79" s="228" t="s">
        <v>147</v>
      </c>
      <c r="K79" s="63" t="s">
        <v>777</v>
      </c>
      <c r="L79" s="13"/>
      <c r="M79" s="24" t="s">
        <v>151</v>
      </c>
      <c r="N79" s="13"/>
      <c r="O79" s="13">
        <f t="shared" si="37"/>
        <v>0</v>
      </c>
      <c r="P79" s="13"/>
      <c r="Q79" s="13"/>
      <c r="R79" s="13"/>
      <c r="S79" s="13"/>
      <c r="T79" s="13"/>
      <c r="U79" s="13"/>
      <c r="V79" s="13"/>
      <c r="W79" s="13"/>
      <c r="X79" s="13">
        <f t="shared" si="38"/>
        <v>0</v>
      </c>
      <c r="Y79" s="13"/>
      <c r="Z79" s="13">
        <v>0</v>
      </c>
      <c r="AA79" s="13"/>
      <c r="AB79" s="13"/>
      <c r="AC79" s="13">
        <f t="shared" si="39"/>
        <v>7600.3</v>
      </c>
      <c r="AD79" s="13"/>
      <c r="AE79" s="13">
        <v>7524.3</v>
      </c>
      <c r="AF79" s="13"/>
      <c r="AG79" s="13">
        <v>76</v>
      </c>
      <c r="AH79" s="13">
        <f>AI79+AJ79+AK79+AL79</f>
        <v>0</v>
      </c>
      <c r="AI79" s="13"/>
      <c r="AJ79" s="13">
        <v>0</v>
      </c>
      <c r="AK79" s="13"/>
      <c r="AL79" s="13">
        <v>0</v>
      </c>
      <c r="AM79" s="13">
        <f>AN79+AO79+AP79+AQ79</f>
        <v>0</v>
      </c>
      <c r="AN79" s="13"/>
      <c r="AO79" s="13">
        <v>0</v>
      </c>
      <c r="AP79" s="13"/>
      <c r="AQ79" s="13">
        <v>0</v>
      </c>
    </row>
    <row r="80" spans="1:43" ht="35.1" customHeight="1">
      <c r="A80" s="40"/>
      <c r="B80" s="61"/>
      <c r="C80" s="228"/>
      <c r="D80" s="228"/>
      <c r="E80" s="228"/>
      <c r="F80" s="228"/>
      <c r="G80" s="228"/>
      <c r="H80" s="26"/>
      <c r="I80" s="214" t="s">
        <v>728</v>
      </c>
      <c r="J80" s="228" t="s">
        <v>147</v>
      </c>
      <c r="K80" s="63" t="s">
        <v>753</v>
      </c>
      <c r="L80" s="13"/>
      <c r="M80" s="24" t="s">
        <v>152</v>
      </c>
      <c r="N80" s="13"/>
      <c r="O80" s="13">
        <f t="shared" si="37"/>
        <v>0</v>
      </c>
      <c r="P80" s="13"/>
      <c r="Q80" s="13"/>
      <c r="R80" s="13"/>
      <c r="S80" s="13"/>
      <c r="T80" s="13"/>
      <c r="U80" s="13"/>
      <c r="V80" s="13"/>
      <c r="W80" s="13"/>
      <c r="X80" s="13">
        <f t="shared" si="38"/>
        <v>0</v>
      </c>
      <c r="Y80" s="13">
        <v>0</v>
      </c>
      <c r="Z80" s="13">
        <v>0</v>
      </c>
      <c r="AA80" s="13"/>
      <c r="AB80" s="13"/>
      <c r="AC80" s="13">
        <f t="shared" si="39"/>
        <v>65113.599999999991</v>
      </c>
      <c r="AD80" s="13">
        <v>9024.7999999999993</v>
      </c>
      <c r="AE80" s="13">
        <v>55437.599999999999</v>
      </c>
      <c r="AF80" s="13"/>
      <c r="AG80" s="13">
        <v>651.20000000000005</v>
      </c>
      <c r="AH80" s="13">
        <v>0</v>
      </c>
      <c r="AI80" s="13">
        <v>0</v>
      </c>
      <c r="AJ80" s="13">
        <v>0</v>
      </c>
      <c r="AK80" s="13"/>
      <c r="AL80" s="13">
        <v>0</v>
      </c>
      <c r="AM80" s="13">
        <f>AN80+AO80+AP80+AQ80</f>
        <v>0</v>
      </c>
      <c r="AN80" s="13">
        <v>0</v>
      </c>
      <c r="AO80" s="13">
        <v>0</v>
      </c>
      <c r="AP80" s="13"/>
      <c r="AQ80" s="13">
        <v>0</v>
      </c>
    </row>
    <row r="81" spans="1:43" ht="35.1" customHeight="1" thickBot="1">
      <c r="A81" s="14"/>
      <c r="B81" s="22"/>
      <c r="C81" s="228"/>
      <c r="D81" s="228"/>
      <c r="E81" s="228"/>
      <c r="F81" s="63"/>
      <c r="G81" s="228"/>
      <c r="H81" s="228"/>
      <c r="I81" s="314"/>
      <c r="J81" s="228"/>
      <c r="K81" s="63"/>
      <c r="L81" s="13"/>
      <c r="M81" s="24" t="s">
        <v>153</v>
      </c>
      <c r="N81" s="13">
        <f t="shared" ref="N81:N93" si="40">P81+R81+T81+V81</f>
        <v>10155.199999999999</v>
      </c>
      <c r="O81" s="13">
        <f t="shared" si="37"/>
        <v>10125.799999999999</v>
      </c>
      <c r="P81" s="13"/>
      <c r="Q81" s="13"/>
      <c r="R81" s="13"/>
      <c r="S81" s="13"/>
      <c r="T81" s="13"/>
      <c r="U81" s="13"/>
      <c r="V81" s="13">
        <f>9058.6-121+136.9+273.3+80-193.4+179.8+70+171.3+95+38.5+80.6+205.6+50+30</f>
        <v>10155.199999999999</v>
      </c>
      <c r="W81" s="13">
        <v>10125.799999999999</v>
      </c>
      <c r="X81" s="13">
        <f t="shared" ref="X81:X93" si="41">Y81+Z81+AA81+AB81</f>
        <v>5514</v>
      </c>
      <c r="Y81" s="13"/>
      <c r="Z81" s="13"/>
      <c r="AA81" s="13"/>
      <c r="AB81" s="13">
        <v>5514</v>
      </c>
      <c r="AC81" s="13">
        <f t="shared" ref="AC81:AC93" si="42">AD81+AE81+AF81+AG81</f>
        <v>5514</v>
      </c>
      <c r="AD81" s="13"/>
      <c r="AE81" s="13"/>
      <c r="AF81" s="13"/>
      <c r="AG81" s="13">
        <v>5514</v>
      </c>
      <c r="AH81" s="13">
        <f t="shared" ref="AH81:AH93" si="43">AI81+AJ81+AK81+AL81</f>
        <v>5514</v>
      </c>
      <c r="AI81" s="13"/>
      <c r="AJ81" s="13"/>
      <c r="AK81" s="13"/>
      <c r="AL81" s="13">
        <v>5514</v>
      </c>
      <c r="AM81" s="13">
        <f t="shared" ref="AM81:AM92" si="44">AN81+AO81+AP81+AQ81</f>
        <v>5514</v>
      </c>
      <c r="AN81" s="13"/>
      <c r="AO81" s="13"/>
      <c r="AP81" s="13"/>
      <c r="AQ81" s="13">
        <v>5514</v>
      </c>
    </row>
    <row r="82" spans="1:43" ht="35.1" customHeight="1" thickBot="1">
      <c r="A82" s="14"/>
      <c r="B82" s="22"/>
      <c r="C82" s="228"/>
      <c r="D82" s="228"/>
      <c r="E82" s="228"/>
      <c r="F82" s="63"/>
      <c r="G82" s="228"/>
      <c r="H82" s="228"/>
      <c r="I82" s="315"/>
      <c r="J82" s="228"/>
      <c r="K82" s="63"/>
      <c r="L82" s="13"/>
      <c r="M82" s="24" t="s">
        <v>154</v>
      </c>
      <c r="N82" s="13">
        <f t="shared" si="40"/>
        <v>3544.8</v>
      </c>
      <c r="O82" s="13">
        <f t="shared" si="37"/>
        <v>3529.9</v>
      </c>
      <c r="P82" s="13"/>
      <c r="Q82" s="13"/>
      <c r="R82" s="13"/>
      <c r="S82" s="13"/>
      <c r="T82" s="13"/>
      <c r="U82" s="13"/>
      <c r="V82" s="13">
        <f>121+203.5+232.9+243.5+193.2-179.7+188.2+275.8+51+157.7+377.4+1105.5+114+460.8</f>
        <v>3544.8</v>
      </c>
      <c r="W82" s="13">
        <v>3529.9</v>
      </c>
      <c r="X82" s="13">
        <f t="shared" si="41"/>
        <v>0</v>
      </c>
      <c r="Y82" s="13"/>
      <c r="Z82" s="13"/>
      <c r="AA82" s="13"/>
      <c r="AB82" s="13">
        <v>0</v>
      </c>
      <c r="AC82" s="13">
        <f t="shared" si="42"/>
        <v>0</v>
      </c>
      <c r="AD82" s="13"/>
      <c r="AE82" s="13"/>
      <c r="AF82" s="13"/>
      <c r="AG82" s="13">
        <v>0</v>
      </c>
      <c r="AH82" s="13">
        <f t="shared" si="43"/>
        <v>0</v>
      </c>
      <c r="AI82" s="13"/>
      <c r="AJ82" s="13"/>
      <c r="AK82" s="13"/>
      <c r="AL82" s="13">
        <v>0</v>
      </c>
      <c r="AM82" s="13">
        <f t="shared" si="44"/>
        <v>0</v>
      </c>
      <c r="AN82" s="13"/>
      <c r="AO82" s="13"/>
      <c r="AP82" s="13"/>
      <c r="AQ82" s="13">
        <v>0</v>
      </c>
    </row>
    <row r="83" spans="1:43" ht="35.1" customHeight="1" thickBot="1">
      <c r="A83" s="14"/>
      <c r="B83" s="22"/>
      <c r="C83" s="228"/>
      <c r="D83" s="228"/>
      <c r="E83" s="228"/>
      <c r="F83" s="63"/>
      <c r="G83" s="228"/>
      <c r="H83" s="228"/>
      <c r="I83" s="315"/>
      <c r="J83" s="228"/>
      <c r="K83" s="63"/>
      <c r="L83" s="13"/>
      <c r="M83" s="24" t="s">
        <v>155</v>
      </c>
      <c r="N83" s="13">
        <f t="shared" si="40"/>
        <v>2003.4</v>
      </c>
      <c r="O83" s="13">
        <f t="shared" si="37"/>
        <v>2003.4</v>
      </c>
      <c r="P83" s="13"/>
      <c r="Q83" s="13"/>
      <c r="R83" s="13"/>
      <c r="S83" s="13"/>
      <c r="T83" s="13"/>
      <c r="U83" s="13"/>
      <c r="V83" s="13">
        <f>1767.4+320-84</f>
        <v>2003.4</v>
      </c>
      <c r="W83" s="13">
        <v>2003.4</v>
      </c>
      <c r="X83" s="13">
        <f t="shared" si="41"/>
        <v>836.7</v>
      </c>
      <c r="Y83" s="13"/>
      <c r="Z83" s="13"/>
      <c r="AA83" s="13"/>
      <c r="AB83" s="13">
        <v>836.7</v>
      </c>
      <c r="AC83" s="13">
        <f t="shared" si="42"/>
        <v>836.7</v>
      </c>
      <c r="AD83" s="13"/>
      <c r="AE83" s="13"/>
      <c r="AF83" s="13"/>
      <c r="AG83" s="13">
        <v>836.7</v>
      </c>
      <c r="AH83" s="13">
        <f t="shared" si="43"/>
        <v>836.7</v>
      </c>
      <c r="AI83" s="13"/>
      <c r="AJ83" s="13"/>
      <c r="AK83" s="13"/>
      <c r="AL83" s="13">
        <v>836.7</v>
      </c>
      <c r="AM83" s="13">
        <f t="shared" si="44"/>
        <v>836.7</v>
      </c>
      <c r="AN83" s="13"/>
      <c r="AO83" s="13"/>
      <c r="AP83" s="13"/>
      <c r="AQ83" s="13">
        <v>836.7</v>
      </c>
    </row>
    <row r="84" spans="1:43" ht="35.1" customHeight="1" thickBot="1">
      <c r="A84" s="14"/>
      <c r="B84" s="22"/>
      <c r="C84" s="228"/>
      <c r="D84" s="228"/>
      <c r="E84" s="228"/>
      <c r="F84" s="63"/>
      <c r="G84" s="228"/>
      <c r="H84" s="228"/>
      <c r="I84" s="316"/>
      <c r="J84" s="228"/>
      <c r="K84" s="63"/>
      <c r="L84" s="13"/>
      <c r="M84" s="24" t="s">
        <v>156</v>
      </c>
      <c r="N84" s="13">
        <f t="shared" si="40"/>
        <v>584</v>
      </c>
      <c r="O84" s="13">
        <f t="shared" si="37"/>
        <v>584</v>
      </c>
      <c r="P84" s="13"/>
      <c r="Q84" s="13"/>
      <c r="R84" s="13"/>
      <c r="S84" s="13"/>
      <c r="T84" s="13"/>
      <c r="U84" s="13"/>
      <c r="V84" s="13">
        <f>500+84</f>
        <v>584</v>
      </c>
      <c r="W84" s="13">
        <v>584</v>
      </c>
      <c r="X84" s="13">
        <f t="shared" si="41"/>
        <v>0</v>
      </c>
      <c r="Y84" s="13"/>
      <c r="Z84" s="13"/>
      <c r="AA84" s="13"/>
      <c r="AB84" s="13">
        <v>0</v>
      </c>
      <c r="AC84" s="13">
        <f t="shared" si="42"/>
        <v>0</v>
      </c>
      <c r="AD84" s="13"/>
      <c r="AE84" s="13"/>
      <c r="AF84" s="13"/>
      <c r="AG84" s="13"/>
      <c r="AH84" s="13">
        <f t="shared" si="43"/>
        <v>0</v>
      </c>
      <c r="AI84" s="13"/>
      <c r="AJ84" s="13"/>
      <c r="AK84" s="13"/>
      <c r="AL84" s="13"/>
      <c r="AM84" s="13">
        <f t="shared" si="44"/>
        <v>0</v>
      </c>
      <c r="AN84" s="13"/>
      <c r="AO84" s="13"/>
      <c r="AP84" s="13"/>
      <c r="AQ84" s="13"/>
    </row>
    <row r="85" spans="1:43" ht="35.1" customHeight="1" thickBot="1">
      <c r="A85" s="14"/>
      <c r="B85" s="22"/>
      <c r="C85" s="211"/>
      <c r="D85" s="228"/>
      <c r="E85" s="228"/>
      <c r="F85" s="63"/>
      <c r="G85" s="228"/>
      <c r="H85" s="228"/>
      <c r="I85" s="215"/>
      <c r="J85" s="228"/>
      <c r="K85" s="63"/>
      <c r="L85" s="13"/>
      <c r="M85" s="24" t="s">
        <v>157</v>
      </c>
      <c r="N85" s="13">
        <f t="shared" si="40"/>
        <v>0</v>
      </c>
      <c r="O85" s="13">
        <f t="shared" si="37"/>
        <v>0</v>
      </c>
      <c r="P85" s="13"/>
      <c r="Q85" s="13"/>
      <c r="R85" s="13"/>
      <c r="S85" s="13"/>
      <c r="T85" s="13"/>
      <c r="U85" s="13"/>
      <c r="V85" s="13"/>
      <c r="W85" s="13"/>
      <c r="X85" s="13">
        <f t="shared" si="41"/>
        <v>0</v>
      </c>
      <c r="Y85" s="13"/>
      <c r="Z85" s="13"/>
      <c r="AA85" s="13"/>
      <c r="AB85" s="13">
        <v>0</v>
      </c>
      <c r="AC85" s="13">
        <f t="shared" si="42"/>
        <v>0</v>
      </c>
      <c r="AD85" s="13"/>
      <c r="AE85" s="13"/>
      <c r="AF85" s="13"/>
      <c r="AG85" s="13">
        <v>0</v>
      </c>
      <c r="AH85" s="13">
        <f t="shared" si="43"/>
        <v>0</v>
      </c>
      <c r="AI85" s="13"/>
      <c r="AJ85" s="13"/>
      <c r="AK85" s="13"/>
      <c r="AL85" s="13">
        <v>0</v>
      </c>
      <c r="AM85" s="13">
        <f t="shared" si="44"/>
        <v>0</v>
      </c>
      <c r="AN85" s="13"/>
      <c r="AO85" s="13"/>
      <c r="AP85" s="13"/>
      <c r="AQ85" s="13">
        <v>0</v>
      </c>
    </row>
    <row r="86" spans="1:43" ht="35.1" customHeight="1" thickBot="1">
      <c r="A86" s="14"/>
      <c r="B86" s="22"/>
      <c r="C86" s="319"/>
      <c r="D86" s="228"/>
      <c r="E86" s="228"/>
      <c r="F86" s="63"/>
      <c r="G86" s="228"/>
      <c r="H86" s="228"/>
      <c r="I86" s="314"/>
      <c r="J86" s="228"/>
      <c r="K86" s="63"/>
      <c r="L86" s="13"/>
      <c r="M86" s="24" t="s">
        <v>158</v>
      </c>
      <c r="N86" s="13">
        <f t="shared" si="40"/>
        <v>18413.099999999999</v>
      </c>
      <c r="O86" s="13">
        <f t="shared" si="37"/>
        <v>18174.7</v>
      </c>
      <c r="P86" s="13"/>
      <c r="Q86" s="13"/>
      <c r="R86" s="13"/>
      <c r="S86" s="13"/>
      <c r="T86" s="13"/>
      <c r="U86" s="13"/>
      <c r="V86" s="13">
        <f>17482.3+71+299.8+560</f>
        <v>18413.099999999999</v>
      </c>
      <c r="W86" s="13">
        <v>18174.7</v>
      </c>
      <c r="X86" s="13">
        <f t="shared" si="41"/>
        <v>19325.900000000001</v>
      </c>
      <c r="Y86" s="13"/>
      <c r="Z86" s="13"/>
      <c r="AA86" s="13"/>
      <c r="AB86" s="13">
        <v>19325.900000000001</v>
      </c>
      <c r="AC86" s="13">
        <f t="shared" si="42"/>
        <v>19325.900000000001</v>
      </c>
      <c r="AD86" s="13"/>
      <c r="AE86" s="13"/>
      <c r="AF86" s="13"/>
      <c r="AG86" s="13">
        <v>19325.900000000001</v>
      </c>
      <c r="AH86" s="13">
        <f t="shared" si="43"/>
        <v>19325.900000000001</v>
      </c>
      <c r="AI86" s="13"/>
      <c r="AJ86" s="13"/>
      <c r="AK86" s="13"/>
      <c r="AL86" s="13">
        <v>19325.900000000001</v>
      </c>
      <c r="AM86" s="13">
        <f t="shared" si="44"/>
        <v>19325.900000000001</v>
      </c>
      <c r="AN86" s="13"/>
      <c r="AO86" s="13"/>
      <c r="AP86" s="13"/>
      <c r="AQ86" s="13">
        <v>19325.900000000001</v>
      </c>
    </row>
    <row r="87" spans="1:43" ht="35.1" customHeight="1" thickBot="1">
      <c r="A87" s="14"/>
      <c r="B87" s="22"/>
      <c r="C87" s="320"/>
      <c r="D87" s="228"/>
      <c r="E87" s="228"/>
      <c r="F87" s="63"/>
      <c r="G87" s="228"/>
      <c r="H87" s="228"/>
      <c r="I87" s="292"/>
      <c r="J87" s="228"/>
      <c r="K87" s="63"/>
      <c r="L87" s="13"/>
      <c r="M87" s="24" t="s">
        <v>159</v>
      </c>
      <c r="N87" s="13">
        <f t="shared" si="40"/>
        <v>3208.3</v>
      </c>
      <c r="O87" s="13">
        <f t="shared" si="37"/>
        <v>3088.2</v>
      </c>
      <c r="P87" s="13"/>
      <c r="Q87" s="13"/>
      <c r="R87" s="13"/>
      <c r="S87" s="13"/>
      <c r="T87" s="13"/>
      <c r="U87" s="13"/>
      <c r="V87" s="13">
        <f>3599.3-71-320</f>
        <v>3208.3</v>
      </c>
      <c r="W87" s="13">
        <v>3088.2</v>
      </c>
      <c r="X87" s="13">
        <f t="shared" si="41"/>
        <v>3710.8</v>
      </c>
      <c r="Y87" s="13"/>
      <c r="Z87" s="13"/>
      <c r="AA87" s="13"/>
      <c r="AB87" s="13">
        <v>3710.8</v>
      </c>
      <c r="AC87" s="13">
        <f t="shared" si="42"/>
        <v>3710.8</v>
      </c>
      <c r="AD87" s="13"/>
      <c r="AE87" s="13"/>
      <c r="AF87" s="13"/>
      <c r="AG87" s="13">
        <v>3710.8</v>
      </c>
      <c r="AH87" s="13">
        <f t="shared" si="43"/>
        <v>3710.8</v>
      </c>
      <c r="AI87" s="13"/>
      <c r="AJ87" s="13"/>
      <c r="AK87" s="13"/>
      <c r="AL87" s="13">
        <v>3710.8</v>
      </c>
      <c r="AM87" s="13">
        <f t="shared" si="44"/>
        <v>3710.8</v>
      </c>
      <c r="AN87" s="13"/>
      <c r="AO87" s="13"/>
      <c r="AP87" s="13"/>
      <c r="AQ87" s="13">
        <v>3710.8</v>
      </c>
    </row>
    <row r="88" spans="1:43" ht="35.1" customHeight="1" thickBot="1">
      <c r="A88" s="14"/>
      <c r="B88" s="22"/>
      <c r="C88" s="320"/>
      <c r="D88" s="228"/>
      <c r="E88" s="228"/>
      <c r="F88" s="63"/>
      <c r="G88" s="228"/>
      <c r="H88" s="228"/>
      <c r="I88" s="292"/>
      <c r="J88" s="228"/>
      <c r="K88" s="63"/>
      <c r="L88" s="13"/>
      <c r="M88" s="24" t="s">
        <v>160</v>
      </c>
      <c r="N88" s="13">
        <f t="shared" si="40"/>
        <v>18355.600000000002</v>
      </c>
      <c r="O88" s="13">
        <f t="shared" si="37"/>
        <v>16310</v>
      </c>
      <c r="P88" s="13"/>
      <c r="Q88" s="13"/>
      <c r="R88" s="13"/>
      <c r="S88" s="13"/>
      <c r="T88" s="13"/>
      <c r="U88" s="13"/>
      <c r="V88" s="13">
        <f>17596.3+1623.5-70+10.4-80.6-50-674</f>
        <v>18355.600000000002</v>
      </c>
      <c r="W88" s="13">
        <v>16310</v>
      </c>
      <c r="X88" s="13">
        <f t="shared" si="41"/>
        <v>20012.7</v>
      </c>
      <c r="Y88" s="13"/>
      <c r="Z88" s="13"/>
      <c r="AA88" s="13"/>
      <c r="AB88" s="13">
        <f>17277.7+2735</f>
        <v>20012.7</v>
      </c>
      <c r="AC88" s="13">
        <f t="shared" si="42"/>
        <v>20012.8</v>
      </c>
      <c r="AD88" s="13"/>
      <c r="AE88" s="13"/>
      <c r="AF88" s="13"/>
      <c r="AG88" s="13">
        <v>20012.8</v>
      </c>
      <c r="AH88" s="13">
        <f t="shared" si="43"/>
        <v>20012.8</v>
      </c>
      <c r="AI88" s="13"/>
      <c r="AJ88" s="13"/>
      <c r="AK88" s="13"/>
      <c r="AL88" s="13">
        <v>20012.8</v>
      </c>
      <c r="AM88" s="13">
        <f t="shared" si="44"/>
        <v>20012.8</v>
      </c>
      <c r="AN88" s="13"/>
      <c r="AO88" s="13"/>
      <c r="AP88" s="13"/>
      <c r="AQ88" s="13">
        <v>20012.8</v>
      </c>
    </row>
    <row r="89" spans="1:43" ht="35.1" customHeight="1" thickBot="1">
      <c r="A89" s="14"/>
      <c r="B89" s="22"/>
      <c r="C89" s="320"/>
      <c r="D89" s="228"/>
      <c r="E89" s="228"/>
      <c r="F89" s="63"/>
      <c r="G89" s="228"/>
      <c r="H89" s="228"/>
      <c r="I89" s="292"/>
      <c r="J89" s="228"/>
      <c r="K89" s="63"/>
      <c r="L89" s="13"/>
      <c r="M89" s="24" t="s">
        <v>161</v>
      </c>
      <c r="N89" s="13">
        <f t="shared" si="40"/>
        <v>335.3</v>
      </c>
      <c r="O89" s="13">
        <f t="shared" si="37"/>
        <v>249.1</v>
      </c>
      <c r="P89" s="13"/>
      <c r="Q89" s="13"/>
      <c r="R89" s="13"/>
      <c r="S89" s="13"/>
      <c r="T89" s="13"/>
      <c r="U89" s="13"/>
      <c r="V89" s="13">
        <v>335.3</v>
      </c>
      <c r="W89" s="13">
        <v>249.1</v>
      </c>
      <c r="X89" s="13">
        <f t="shared" si="41"/>
        <v>0</v>
      </c>
      <c r="Y89" s="13"/>
      <c r="Z89" s="13"/>
      <c r="AA89" s="13"/>
      <c r="AB89" s="13">
        <v>0</v>
      </c>
      <c r="AC89" s="13">
        <f t="shared" si="42"/>
        <v>0</v>
      </c>
      <c r="AD89" s="13"/>
      <c r="AE89" s="13"/>
      <c r="AF89" s="13"/>
      <c r="AG89" s="13">
        <v>0</v>
      </c>
      <c r="AH89" s="13">
        <f t="shared" si="43"/>
        <v>0</v>
      </c>
      <c r="AI89" s="13"/>
      <c r="AJ89" s="13"/>
      <c r="AK89" s="13"/>
      <c r="AL89" s="13">
        <v>0</v>
      </c>
      <c r="AM89" s="13">
        <f t="shared" si="44"/>
        <v>0</v>
      </c>
      <c r="AN89" s="13"/>
      <c r="AO89" s="13"/>
      <c r="AP89" s="13"/>
      <c r="AQ89" s="13">
        <v>0</v>
      </c>
    </row>
    <row r="90" spans="1:43" ht="35.1" customHeight="1" thickBot="1">
      <c r="A90" s="14"/>
      <c r="B90" s="22"/>
      <c r="C90" s="320"/>
      <c r="D90" s="228"/>
      <c r="E90" s="228"/>
      <c r="F90" s="63"/>
      <c r="G90" s="228"/>
      <c r="H90" s="228"/>
      <c r="I90" s="292"/>
      <c r="J90" s="228"/>
      <c r="K90" s="63"/>
      <c r="L90" s="13"/>
      <c r="M90" s="24" t="s">
        <v>162</v>
      </c>
      <c r="N90" s="13">
        <f t="shared" si="40"/>
        <v>2444.8000000000002</v>
      </c>
      <c r="O90" s="13">
        <f t="shared" si="37"/>
        <v>2444.8000000000002</v>
      </c>
      <c r="P90" s="13"/>
      <c r="Q90" s="13"/>
      <c r="R90" s="13"/>
      <c r="S90" s="13"/>
      <c r="T90" s="13"/>
      <c r="U90" s="13"/>
      <c r="V90" s="13">
        <f>2003.5+381.8+59.5</f>
        <v>2444.8000000000002</v>
      </c>
      <c r="W90" s="13">
        <v>2444.8000000000002</v>
      </c>
      <c r="X90" s="13">
        <f t="shared" si="41"/>
        <v>2523.1</v>
      </c>
      <c r="Y90" s="13"/>
      <c r="Z90" s="13"/>
      <c r="AA90" s="13"/>
      <c r="AB90" s="13">
        <v>2523.1</v>
      </c>
      <c r="AC90" s="13">
        <f t="shared" si="42"/>
        <v>2523.1</v>
      </c>
      <c r="AD90" s="13"/>
      <c r="AE90" s="13"/>
      <c r="AF90" s="13"/>
      <c r="AG90" s="13">
        <v>2523.1</v>
      </c>
      <c r="AH90" s="13">
        <f t="shared" si="43"/>
        <v>2523.1</v>
      </c>
      <c r="AI90" s="13"/>
      <c r="AJ90" s="13"/>
      <c r="AK90" s="13"/>
      <c r="AL90" s="13">
        <v>2523.1</v>
      </c>
      <c r="AM90" s="13">
        <f t="shared" si="44"/>
        <v>2523.1</v>
      </c>
      <c r="AN90" s="13"/>
      <c r="AO90" s="13"/>
      <c r="AP90" s="13"/>
      <c r="AQ90" s="13">
        <v>2523.1</v>
      </c>
    </row>
    <row r="91" spans="1:43" ht="35.1" customHeight="1" thickBot="1">
      <c r="A91" s="14"/>
      <c r="B91" s="22"/>
      <c r="C91" s="320"/>
      <c r="D91" s="228"/>
      <c r="E91" s="228"/>
      <c r="F91" s="63"/>
      <c r="G91" s="228"/>
      <c r="H91" s="228"/>
      <c r="I91" s="292"/>
      <c r="J91" s="228"/>
      <c r="K91" s="63"/>
      <c r="L91" s="13"/>
      <c r="M91" s="24" t="s">
        <v>163</v>
      </c>
      <c r="N91" s="13">
        <f t="shared" si="40"/>
        <v>80541.8</v>
      </c>
      <c r="O91" s="13">
        <f t="shared" si="37"/>
        <v>80529.899999999994</v>
      </c>
      <c r="P91" s="13"/>
      <c r="Q91" s="13"/>
      <c r="R91" s="13"/>
      <c r="S91" s="13"/>
      <c r="T91" s="13"/>
      <c r="U91" s="13"/>
      <c r="V91" s="13">
        <f>65636.6+7721.5+3800-0.1+3383.8</f>
        <v>80541.8</v>
      </c>
      <c r="W91" s="13">
        <v>80529.899999999994</v>
      </c>
      <c r="X91" s="13">
        <f t="shared" si="41"/>
        <v>83699.7</v>
      </c>
      <c r="Y91" s="13"/>
      <c r="Z91" s="13"/>
      <c r="AA91" s="13"/>
      <c r="AB91" s="13">
        <f>73896+9803.7</f>
        <v>83699.7</v>
      </c>
      <c r="AC91" s="13">
        <f t="shared" si="42"/>
        <v>83699.7</v>
      </c>
      <c r="AD91" s="13"/>
      <c r="AE91" s="13"/>
      <c r="AF91" s="13"/>
      <c r="AG91" s="13">
        <f>73896+9803.7</f>
        <v>83699.7</v>
      </c>
      <c r="AH91" s="13">
        <f t="shared" si="43"/>
        <v>83699.7</v>
      </c>
      <c r="AI91" s="13"/>
      <c r="AJ91" s="13"/>
      <c r="AK91" s="13"/>
      <c r="AL91" s="13">
        <f>73896+9803.7</f>
        <v>83699.7</v>
      </c>
      <c r="AM91" s="13">
        <f t="shared" si="44"/>
        <v>83699.7</v>
      </c>
      <c r="AN91" s="13"/>
      <c r="AO91" s="13"/>
      <c r="AP91" s="13"/>
      <c r="AQ91" s="13">
        <f>73896+9803.7</f>
        <v>83699.7</v>
      </c>
    </row>
    <row r="92" spans="1:43" ht="35.1" customHeight="1" thickBot="1">
      <c r="A92" s="14"/>
      <c r="B92" s="22"/>
      <c r="C92" s="321"/>
      <c r="D92" s="228"/>
      <c r="E92" s="228"/>
      <c r="F92" s="63"/>
      <c r="G92" s="228"/>
      <c r="H92" s="228"/>
      <c r="I92" s="313"/>
      <c r="J92" s="228"/>
      <c r="K92" s="63"/>
      <c r="L92" s="13"/>
      <c r="M92" s="24" t="s">
        <v>164</v>
      </c>
      <c r="N92" s="13">
        <f t="shared" si="40"/>
        <v>15181.4</v>
      </c>
      <c r="O92" s="13">
        <f t="shared" si="37"/>
        <v>15181.4</v>
      </c>
      <c r="P92" s="13"/>
      <c r="Q92" s="13"/>
      <c r="R92" s="13"/>
      <c r="S92" s="13"/>
      <c r="T92" s="13"/>
      <c r="U92" s="13"/>
      <c r="V92" s="13">
        <f>14431.5+749.9</f>
        <v>15181.4</v>
      </c>
      <c r="W92" s="13">
        <v>15181.4</v>
      </c>
      <c r="X92" s="13">
        <f t="shared" si="41"/>
        <v>15696.1</v>
      </c>
      <c r="Y92" s="13"/>
      <c r="Z92" s="13"/>
      <c r="AA92" s="13"/>
      <c r="AB92" s="13">
        <v>15696.1</v>
      </c>
      <c r="AC92" s="13">
        <f t="shared" si="42"/>
        <v>15696.1</v>
      </c>
      <c r="AD92" s="13"/>
      <c r="AE92" s="13"/>
      <c r="AF92" s="13"/>
      <c r="AG92" s="13">
        <v>15696.1</v>
      </c>
      <c r="AH92" s="13">
        <f t="shared" si="43"/>
        <v>15696.1</v>
      </c>
      <c r="AI92" s="13"/>
      <c r="AJ92" s="13"/>
      <c r="AK92" s="13"/>
      <c r="AL92" s="13">
        <v>15696.1</v>
      </c>
      <c r="AM92" s="13">
        <f t="shared" si="44"/>
        <v>15696.1</v>
      </c>
      <c r="AN92" s="13"/>
      <c r="AO92" s="13"/>
      <c r="AP92" s="13"/>
      <c r="AQ92" s="13">
        <v>15696.1</v>
      </c>
    </row>
    <row r="93" spans="1:43" ht="35.1" customHeight="1" thickBot="1">
      <c r="A93" s="14"/>
      <c r="B93" s="22"/>
      <c r="C93" s="213"/>
      <c r="D93" s="228"/>
      <c r="E93" s="228"/>
      <c r="F93" s="63"/>
      <c r="G93" s="228"/>
      <c r="H93" s="228"/>
      <c r="I93" s="207"/>
      <c r="J93" s="228"/>
      <c r="K93" s="63"/>
      <c r="L93" s="13"/>
      <c r="M93" s="24" t="s">
        <v>165</v>
      </c>
      <c r="N93" s="13">
        <f t="shared" si="40"/>
        <v>701.30000000000007</v>
      </c>
      <c r="O93" s="13">
        <f t="shared" si="37"/>
        <v>0</v>
      </c>
      <c r="P93" s="13"/>
      <c r="Q93" s="13"/>
      <c r="R93" s="13"/>
      <c r="S93" s="13"/>
      <c r="T93" s="13"/>
      <c r="U93" s="13"/>
      <c r="V93" s="13">
        <f>500+4191.8-3799.9-189.5-0.1-1</f>
        <v>701.30000000000007</v>
      </c>
      <c r="W93" s="13">
        <v>0</v>
      </c>
      <c r="X93" s="13">
        <f t="shared" si="41"/>
        <v>0</v>
      </c>
      <c r="Y93" s="13"/>
      <c r="Z93" s="13"/>
      <c r="AA93" s="13"/>
      <c r="AB93" s="13">
        <f>9803.7-9803.7</f>
        <v>0</v>
      </c>
      <c r="AC93" s="13">
        <f t="shared" si="42"/>
        <v>0</v>
      </c>
      <c r="AD93" s="13"/>
      <c r="AE93" s="13"/>
      <c r="AF93" s="13"/>
      <c r="AG93" s="13">
        <f>9803.7-9803.7</f>
        <v>0</v>
      </c>
      <c r="AH93" s="13">
        <f t="shared" si="43"/>
        <v>0</v>
      </c>
      <c r="AI93" s="13"/>
      <c r="AJ93" s="13"/>
      <c r="AK93" s="13"/>
      <c r="AL93" s="13">
        <f>9803.7-9803.7</f>
        <v>0</v>
      </c>
      <c r="AM93" s="13">
        <f>AN93+AO93+AP93+AQ93</f>
        <v>0</v>
      </c>
      <c r="AN93" s="13"/>
      <c r="AO93" s="13"/>
      <c r="AP93" s="13"/>
      <c r="AQ93" s="13">
        <f>9803.7-9803.7</f>
        <v>0</v>
      </c>
    </row>
    <row r="94" spans="1:43" ht="35.1" customHeight="1" thickBot="1">
      <c r="A94" s="17" t="s">
        <v>166</v>
      </c>
      <c r="B94" s="64">
        <v>2523</v>
      </c>
      <c r="C94" s="19"/>
      <c r="D94" s="20"/>
      <c r="E94" s="20"/>
      <c r="F94" s="20"/>
      <c r="G94" s="20"/>
      <c r="H94" s="20"/>
      <c r="I94" s="20"/>
      <c r="J94" s="20"/>
      <c r="K94" s="20"/>
      <c r="L94" s="20">
        <v>6</v>
      </c>
      <c r="M94" s="20"/>
      <c r="N94" s="20">
        <f>N100+N101+N102+N103+N104+N105+N107+N108+N109+N110+N111+N112+N113+N115+N117+N116+N98+N99+N95+N96+N97+N106+N114</f>
        <v>176953.60000000001</v>
      </c>
      <c r="O94" s="20">
        <f t="shared" ref="O94:AQ94" si="45">O100+O101+O102+O103+O104+O105+O107+O108+O109+O110+O111+O112+O113+O115+O117+O116+O98+O99+O95+O96+O97+O106+O114</f>
        <v>173836.1</v>
      </c>
      <c r="P94" s="20">
        <f t="shared" si="45"/>
        <v>35534.099999999991</v>
      </c>
      <c r="Q94" s="20">
        <f t="shared" si="45"/>
        <v>35456.299999999996</v>
      </c>
      <c r="R94" s="20">
        <f t="shared" si="45"/>
        <v>25003.7</v>
      </c>
      <c r="S94" s="20">
        <f t="shared" si="45"/>
        <v>24287.9</v>
      </c>
      <c r="T94" s="20">
        <f t="shared" si="45"/>
        <v>0</v>
      </c>
      <c r="U94" s="20">
        <f t="shared" si="45"/>
        <v>0</v>
      </c>
      <c r="V94" s="20">
        <f t="shared" si="45"/>
        <v>116415.8</v>
      </c>
      <c r="W94" s="20">
        <f t="shared" si="45"/>
        <v>114091.9</v>
      </c>
      <c r="X94" s="20">
        <f t="shared" si="45"/>
        <v>107657.09999999999</v>
      </c>
      <c r="Y94" s="20">
        <f t="shared" si="45"/>
        <v>9514.9</v>
      </c>
      <c r="Z94" s="20">
        <f t="shared" si="45"/>
        <v>15624.3</v>
      </c>
      <c r="AA94" s="20">
        <f t="shared" si="45"/>
        <v>0</v>
      </c>
      <c r="AB94" s="20">
        <f t="shared" si="45"/>
        <v>82517.900000000009</v>
      </c>
      <c r="AC94" s="20">
        <f t="shared" si="45"/>
        <v>91367.099999999991</v>
      </c>
      <c r="AD94" s="20">
        <f t="shared" si="45"/>
        <v>0</v>
      </c>
      <c r="AE94" s="20">
        <f t="shared" si="45"/>
        <v>9012.1999999999989</v>
      </c>
      <c r="AF94" s="20">
        <f t="shared" si="45"/>
        <v>0</v>
      </c>
      <c r="AG94" s="20">
        <f t="shared" si="45"/>
        <v>82354.899999999994</v>
      </c>
      <c r="AH94" s="20">
        <f t="shared" si="45"/>
        <v>91367.099999999991</v>
      </c>
      <c r="AI94" s="20">
        <f t="shared" si="45"/>
        <v>0</v>
      </c>
      <c r="AJ94" s="20">
        <f t="shared" si="45"/>
        <v>9012.1999999999989</v>
      </c>
      <c r="AK94" s="20">
        <f t="shared" si="45"/>
        <v>0</v>
      </c>
      <c r="AL94" s="20">
        <f t="shared" si="45"/>
        <v>82354.899999999994</v>
      </c>
      <c r="AM94" s="20">
        <f t="shared" si="45"/>
        <v>91367.099999999991</v>
      </c>
      <c r="AN94" s="20">
        <f t="shared" si="45"/>
        <v>0</v>
      </c>
      <c r="AO94" s="20">
        <f t="shared" si="45"/>
        <v>9012.1999999999989</v>
      </c>
      <c r="AP94" s="20">
        <f t="shared" si="45"/>
        <v>0</v>
      </c>
      <c r="AQ94" s="20">
        <f t="shared" si="45"/>
        <v>82354.899999999994</v>
      </c>
    </row>
    <row r="95" spans="1:43" ht="35.1" customHeight="1" thickBot="1">
      <c r="A95" s="14"/>
      <c r="B95" s="41"/>
      <c r="C95" s="26" t="s">
        <v>167</v>
      </c>
      <c r="D95" s="26" t="s">
        <v>168</v>
      </c>
      <c r="E95" s="26" t="s">
        <v>169</v>
      </c>
      <c r="F95" s="65" t="s">
        <v>778</v>
      </c>
      <c r="G95" s="26" t="s">
        <v>779</v>
      </c>
      <c r="H95" s="26" t="s">
        <v>780</v>
      </c>
      <c r="I95" s="71" t="s">
        <v>721</v>
      </c>
      <c r="J95" s="45" t="s">
        <v>765</v>
      </c>
      <c r="K95" s="179" t="s">
        <v>717</v>
      </c>
      <c r="L95" s="13"/>
      <c r="M95" s="56" t="s">
        <v>171</v>
      </c>
      <c r="N95" s="13">
        <f t="shared" ref="N95:O103" si="46">P95+R95+T95+V95</f>
        <v>6154.0999999999995</v>
      </c>
      <c r="O95" s="13">
        <f t="shared" si="46"/>
        <v>5720.3</v>
      </c>
      <c r="P95" s="13"/>
      <c r="Q95" s="13"/>
      <c r="R95" s="13">
        <f>5387.4+759.7</f>
        <v>6147.0999999999995</v>
      </c>
      <c r="S95" s="13">
        <v>5714</v>
      </c>
      <c r="T95" s="13"/>
      <c r="U95" s="13"/>
      <c r="V95" s="13">
        <f>6-1+1+1</f>
        <v>7</v>
      </c>
      <c r="W95" s="13">
        <v>6.3</v>
      </c>
      <c r="X95" s="13">
        <f>Y95+Z95+AA95+AB95</f>
        <v>6200.7</v>
      </c>
      <c r="Y95" s="13"/>
      <c r="Z95" s="13">
        <v>6193.9</v>
      </c>
      <c r="AA95" s="13"/>
      <c r="AB95" s="13">
        <v>6.8</v>
      </c>
      <c r="AC95" s="13">
        <f>AD95+AE95+AF95+AG95</f>
        <v>6200.7</v>
      </c>
      <c r="AD95" s="13"/>
      <c r="AE95" s="13">
        <v>6193.9</v>
      </c>
      <c r="AF95" s="13"/>
      <c r="AG95" s="13">
        <v>6.8</v>
      </c>
      <c r="AH95" s="13">
        <f>AI95+AJ95+AK95+AL95</f>
        <v>6200.7</v>
      </c>
      <c r="AI95" s="13"/>
      <c r="AJ95" s="13">
        <v>6193.9</v>
      </c>
      <c r="AK95" s="13"/>
      <c r="AL95" s="13">
        <v>6.8</v>
      </c>
      <c r="AM95" s="13">
        <f>AN95+AO95+AP95+AQ95</f>
        <v>6200.7</v>
      </c>
      <c r="AN95" s="13"/>
      <c r="AO95" s="13">
        <v>6193.9</v>
      </c>
      <c r="AP95" s="13"/>
      <c r="AQ95" s="13">
        <v>6.8</v>
      </c>
    </row>
    <row r="96" spans="1:43" ht="35.1" customHeight="1" thickBot="1">
      <c r="A96" s="14"/>
      <c r="B96" s="41"/>
      <c r="C96" s="243" t="s">
        <v>103</v>
      </c>
      <c r="D96" s="243" t="s">
        <v>142</v>
      </c>
      <c r="E96" s="243" t="s">
        <v>143</v>
      </c>
      <c r="F96" s="26" t="s">
        <v>781</v>
      </c>
      <c r="G96" s="26" t="s">
        <v>147</v>
      </c>
      <c r="H96" s="26" t="s">
        <v>782</v>
      </c>
      <c r="I96" s="66" t="s">
        <v>173</v>
      </c>
      <c r="J96" s="228" t="s">
        <v>147</v>
      </c>
      <c r="K96" s="26" t="s">
        <v>783</v>
      </c>
      <c r="L96" s="13"/>
      <c r="M96" s="56" t="s">
        <v>174</v>
      </c>
      <c r="N96" s="13">
        <f t="shared" si="46"/>
        <v>699.5</v>
      </c>
      <c r="O96" s="13">
        <f t="shared" si="46"/>
        <v>581.1</v>
      </c>
      <c r="P96" s="13"/>
      <c r="Q96" s="13"/>
      <c r="R96" s="13">
        <f>599.5+100</f>
        <v>699.5</v>
      </c>
      <c r="S96" s="13">
        <v>581.1</v>
      </c>
      <c r="T96" s="13"/>
      <c r="U96" s="13"/>
      <c r="V96" s="13"/>
      <c r="W96" s="13"/>
      <c r="X96" s="13">
        <f>Y96+Z96+AA96+AB96</f>
        <v>589.29999999999995</v>
      </c>
      <c r="Y96" s="13"/>
      <c r="Z96" s="13">
        <v>589.29999999999995</v>
      </c>
      <c r="AA96" s="13"/>
      <c r="AB96" s="13"/>
      <c r="AC96" s="13">
        <f>AD96+AE96+AF96+AG96</f>
        <v>589.29999999999995</v>
      </c>
      <c r="AD96" s="13"/>
      <c r="AE96" s="13">
        <v>589.29999999999995</v>
      </c>
      <c r="AF96" s="13"/>
      <c r="AG96" s="13"/>
      <c r="AH96" s="13">
        <f>AI96+AJ96+AK96+AL96</f>
        <v>589.29999999999995</v>
      </c>
      <c r="AI96" s="13"/>
      <c r="AJ96" s="13">
        <v>589.29999999999995</v>
      </c>
      <c r="AK96" s="13"/>
      <c r="AL96" s="13"/>
      <c r="AM96" s="13">
        <f>AN96+AO96+AP96+AQ96</f>
        <v>589.29999999999995</v>
      </c>
      <c r="AN96" s="13"/>
      <c r="AO96" s="13">
        <v>589.29999999999995</v>
      </c>
      <c r="AP96" s="13"/>
      <c r="AQ96" s="13"/>
    </row>
    <row r="97" spans="1:43" ht="35.1" customHeight="1" thickBot="1">
      <c r="A97" s="14"/>
      <c r="B97" s="41"/>
      <c r="C97" s="26"/>
      <c r="D97" s="26"/>
      <c r="E97" s="26"/>
      <c r="F97" s="23" t="s">
        <v>144</v>
      </c>
      <c r="G97" s="23" t="s">
        <v>35</v>
      </c>
      <c r="H97" s="23" t="s">
        <v>145</v>
      </c>
      <c r="I97" s="66"/>
      <c r="J97" s="228"/>
      <c r="K97" s="26"/>
      <c r="L97" s="13"/>
      <c r="M97" s="56" t="s">
        <v>175</v>
      </c>
      <c r="N97" s="13">
        <f t="shared" si="46"/>
        <v>164.3</v>
      </c>
      <c r="O97" s="13">
        <f t="shared" si="46"/>
        <v>0</v>
      </c>
      <c r="P97" s="13"/>
      <c r="Q97" s="13"/>
      <c r="R97" s="13">
        <v>164.3</v>
      </c>
      <c r="S97" s="13">
        <v>0</v>
      </c>
      <c r="T97" s="13"/>
      <c r="U97" s="13"/>
      <c r="V97" s="13">
        <v>0</v>
      </c>
      <c r="W97" s="13"/>
      <c r="X97" s="13">
        <f>Y97+Z97+AA97+AB97</f>
        <v>0</v>
      </c>
      <c r="Y97" s="13"/>
      <c r="Z97" s="13">
        <v>0</v>
      </c>
      <c r="AA97" s="13"/>
      <c r="AB97" s="13">
        <v>0</v>
      </c>
      <c r="AC97" s="13">
        <f>AD97+AE97+AF97+AG97</f>
        <v>0</v>
      </c>
      <c r="AD97" s="13"/>
      <c r="AE97" s="13"/>
      <c r="AF97" s="13"/>
      <c r="AG97" s="13">
        <v>0</v>
      </c>
      <c r="AH97" s="13">
        <f>AI97+AJ97+AK97+AL97</f>
        <v>0</v>
      </c>
      <c r="AI97" s="13"/>
      <c r="AJ97" s="13"/>
      <c r="AK97" s="13"/>
      <c r="AL97" s="13">
        <v>0</v>
      </c>
      <c r="AM97" s="13">
        <f>AN97+AO97+AP97+AQ97</f>
        <v>0</v>
      </c>
      <c r="AN97" s="13"/>
      <c r="AO97" s="13"/>
      <c r="AP97" s="13"/>
      <c r="AQ97" s="13">
        <v>0</v>
      </c>
    </row>
    <row r="98" spans="1:43" ht="35.1" customHeight="1" thickBot="1">
      <c r="A98" s="14"/>
      <c r="B98" s="22"/>
      <c r="C98" s="228"/>
      <c r="D98" s="228"/>
      <c r="E98" s="228"/>
      <c r="F98" s="63" t="s">
        <v>176</v>
      </c>
      <c r="G98" s="228" t="s">
        <v>147</v>
      </c>
      <c r="H98" s="26" t="s">
        <v>766</v>
      </c>
      <c r="I98" s="62" t="s">
        <v>827</v>
      </c>
      <c r="J98" s="228" t="s">
        <v>97</v>
      </c>
      <c r="K98" s="63" t="s">
        <v>828</v>
      </c>
      <c r="L98" s="13"/>
      <c r="M98" s="24" t="s">
        <v>177</v>
      </c>
      <c r="N98" s="13">
        <f t="shared" si="46"/>
        <v>418.4</v>
      </c>
      <c r="O98" s="13">
        <f t="shared" si="46"/>
        <v>402.1</v>
      </c>
      <c r="P98" s="13">
        <f>585.9-167.5</f>
        <v>418.4</v>
      </c>
      <c r="Q98" s="13">
        <v>402.1</v>
      </c>
      <c r="R98" s="13"/>
      <c r="S98" s="13"/>
      <c r="T98" s="13"/>
      <c r="U98" s="13"/>
      <c r="V98" s="13"/>
      <c r="W98" s="13"/>
      <c r="X98" s="13">
        <f t="shared" ref="X98:X101" si="47">Y98+Z98+AA98+AB98</f>
        <v>0</v>
      </c>
      <c r="Y98" s="13">
        <v>0</v>
      </c>
      <c r="Z98" s="13"/>
      <c r="AA98" s="13"/>
      <c r="AB98" s="13"/>
      <c r="AC98" s="13">
        <f t="shared" ref="AC98:AC101" si="48">AD98+AE98+AF98+AG98</f>
        <v>0</v>
      </c>
      <c r="AD98" s="13">
        <v>0</v>
      </c>
      <c r="AE98" s="13"/>
      <c r="AF98" s="13"/>
      <c r="AG98" s="13"/>
      <c r="AH98" s="13">
        <f t="shared" ref="AH98:AH101" si="49">AI98+AJ98+AK98+AL98</f>
        <v>0</v>
      </c>
      <c r="AI98" s="13">
        <v>0</v>
      </c>
      <c r="AJ98" s="13"/>
      <c r="AK98" s="13"/>
      <c r="AL98" s="13"/>
      <c r="AM98" s="13">
        <f t="shared" ref="AM98:AM101" si="50">AN98+AO98+AP98+AQ98</f>
        <v>0</v>
      </c>
      <c r="AN98" s="13">
        <v>0</v>
      </c>
      <c r="AO98" s="13"/>
      <c r="AP98" s="13"/>
      <c r="AQ98" s="13"/>
    </row>
    <row r="99" spans="1:43" ht="35.1" customHeight="1" thickBot="1">
      <c r="A99" s="14"/>
      <c r="B99" s="22"/>
      <c r="C99" s="243" t="s">
        <v>103</v>
      </c>
      <c r="D99" s="243" t="s">
        <v>142</v>
      </c>
      <c r="E99" s="243" t="s">
        <v>143</v>
      </c>
      <c r="F99" s="228" t="s">
        <v>829</v>
      </c>
      <c r="G99" s="228" t="s">
        <v>147</v>
      </c>
      <c r="H99" s="26" t="s">
        <v>830</v>
      </c>
      <c r="I99" s="62" t="s">
        <v>827</v>
      </c>
      <c r="J99" s="228" t="s">
        <v>97</v>
      </c>
      <c r="K99" s="63" t="s">
        <v>828</v>
      </c>
      <c r="L99" s="13"/>
      <c r="M99" s="24" t="s">
        <v>178</v>
      </c>
      <c r="N99" s="13">
        <f t="shared" si="46"/>
        <v>117.2</v>
      </c>
      <c r="O99" s="13">
        <f t="shared" si="46"/>
        <v>117.2</v>
      </c>
      <c r="P99" s="13">
        <v>117.2</v>
      </c>
      <c r="Q99" s="13">
        <v>117.2</v>
      </c>
      <c r="R99" s="13"/>
      <c r="S99" s="13"/>
      <c r="T99" s="13"/>
      <c r="U99" s="13"/>
      <c r="V99" s="13"/>
      <c r="W99" s="13"/>
      <c r="X99" s="13">
        <f t="shared" si="47"/>
        <v>0</v>
      </c>
      <c r="Y99" s="13"/>
      <c r="Z99" s="13"/>
      <c r="AA99" s="13"/>
      <c r="AB99" s="13"/>
      <c r="AC99" s="13">
        <f t="shared" si="48"/>
        <v>0</v>
      </c>
      <c r="AD99" s="13"/>
      <c r="AE99" s="13"/>
      <c r="AF99" s="13"/>
      <c r="AG99" s="13"/>
      <c r="AH99" s="13">
        <f t="shared" si="49"/>
        <v>0</v>
      </c>
      <c r="AI99" s="13">
        <v>0</v>
      </c>
      <c r="AJ99" s="13"/>
      <c r="AK99" s="13"/>
      <c r="AL99" s="13"/>
      <c r="AM99" s="13">
        <f t="shared" si="50"/>
        <v>0</v>
      </c>
      <c r="AN99" s="13">
        <v>0</v>
      </c>
      <c r="AO99" s="13"/>
      <c r="AP99" s="13"/>
      <c r="AQ99" s="13"/>
    </row>
    <row r="100" spans="1:43" ht="35.1" customHeight="1" thickBot="1">
      <c r="A100" s="14"/>
      <c r="B100" s="22"/>
      <c r="C100" s="228"/>
      <c r="D100" s="228"/>
      <c r="E100" s="228"/>
      <c r="F100" s="228" t="s">
        <v>831</v>
      </c>
      <c r="G100" s="228" t="s">
        <v>97</v>
      </c>
      <c r="H100" s="67" t="s">
        <v>832</v>
      </c>
      <c r="I100" s="62" t="s">
        <v>833</v>
      </c>
      <c r="J100" s="228" t="s">
        <v>147</v>
      </c>
      <c r="K100" s="27">
        <v>47118</v>
      </c>
      <c r="L100" s="13"/>
      <c r="M100" s="24" t="s">
        <v>179</v>
      </c>
      <c r="N100" s="13">
        <f t="shared" si="46"/>
        <v>25427.599999999999</v>
      </c>
      <c r="O100" s="13">
        <f t="shared" si="46"/>
        <v>25366.5</v>
      </c>
      <c r="P100" s="13">
        <v>25427.599999999999</v>
      </c>
      <c r="Q100" s="13">
        <v>25366.5</v>
      </c>
      <c r="R100" s="13"/>
      <c r="S100" s="13"/>
      <c r="T100" s="13"/>
      <c r="U100" s="13"/>
      <c r="V100" s="13"/>
      <c r="W100" s="13"/>
      <c r="X100" s="13">
        <f t="shared" si="47"/>
        <v>0</v>
      </c>
      <c r="Y100" s="13">
        <v>0</v>
      </c>
      <c r="Z100" s="13"/>
      <c r="AA100" s="13"/>
      <c r="AB100" s="13"/>
      <c r="AC100" s="13">
        <f t="shared" si="48"/>
        <v>0</v>
      </c>
      <c r="AD100" s="13">
        <v>0</v>
      </c>
      <c r="AE100" s="13"/>
      <c r="AF100" s="13"/>
      <c r="AG100" s="13"/>
      <c r="AH100" s="13">
        <f t="shared" si="49"/>
        <v>0</v>
      </c>
      <c r="AI100" s="13">
        <v>0</v>
      </c>
      <c r="AJ100" s="13"/>
      <c r="AK100" s="13"/>
      <c r="AL100" s="13"/>
      <c r="AM100" s="13">
        <f t="shared" si="50"/>
        <v>0</v>
      </c>
      <c r="AN100" s="13">
        <v>0</v>
      </c>
      <c r="AO100" s="13"/>
      <c r="AP100" s="13"/>
      <c r="AQ100" s="13"/>
    </row>
    <row r="101" spans="1:43" ht="35.1" customHeight="1" thickBot="1">
      <c r="A101" s="14"/>
      <c r="B101" s="22"/>
      <c r="C101" s="228"/>
      <c r="D101" s="228"/>
      <c r="E101" s="228"/>
      <c r="F101" s="228" t="s">
        <v>831</v>
      </c>
      <c r="G101" s="228" t="s">
        <v>97</v>
      </c>
      <c r="H101" s="67" t="s">
        <v>832</v>
      </c>
      <c r="I101" s="62" t="s">
        <v>833</v>
      </c>
      <c r="J101" s="228" t="s">
        <v>147</v>
      </c>
      <c r="K101" s="27">
        <v>47118</v>
      </c>
      <c r="L101" s="13"/>
      <c r="M101" s="24" t="s">
        <v>180</v>
      </c>
      <c r="N101" s="13">
        <f t="shared" si="46"/>
        <v>7410.2</v>
      </c>
      <c r="O101" s="13">
        <f t="shared" si="46"/>
        <v>7410.2</v>
      </c>
      <c r="P101" s="13">
        <v>7410.2</v>
      </c>
      <c r="Q101" s="13">
        <v>7410.2</v>
      </c>
      <c r="R101" s="13"/>
      <c r="S101" s="13"/>
      <c r="T101" s="13"/>
      <c r="U101" s="13"/>
      <c r="V101" s="13"/>
      <c r="W101" s="13"/>
      <c r="X101" s="13">
        <f t="shared" si="47"/>
        <v>0</v>
      </c>
      <c r="Y101" s="13">
        <v>0</v>
      </c>
      <c r="Z101" s="13"/>
      <c r="AA101" s="13"/>
      <c r="AB101" s="13"/>
      <c r="AC101" s="13">
        <f t="shared" si="48"/>
        <v>0</v>
      </c>
      <c r="AD101" s="13">
        <v>0</v>
      </c>
      <c r="AE101" s="13"/>
      <c r="AF101" s="13"/>
      <c r="AG101" s="13"/>
      <c r="AH101" s="13">
        <f t="shared" si="49"/>
        <v>0</v>
      </c>
      <c r="AI101" s="13">
        <v>0</v>
      </c>
      <c r="AJ101" s="13"/>
      <c r="AK101" s="13"/>
      <c r="AL101" s="13"/>
      <c r="AM101" s="13">
        <f t="shared" si="50"/>
        <v>0</v>
      </c>
      <c r="AN101" s="13">
        <v>0</v>
      </c>
      <c r="AO101" s="13"/>
      <c r="AP101" s="13"/>
      <c r="AQ101" s="13"/>
    </row>
    <row r="102" spans="1:43" ht="35.1" customHeight="1" thickBot="1">
      <c r="A102" s="14"/>
      <c r="B102" s="22"/>
      <c r="C102" s="228"/>
      <c r="D102" s="228"/>
      <c r="E102" s="228"/>
      <c r="F102" s="63" t="s">
        <v>834</v>
      </c>
      <c r="G102" s="228" t="s">
        <v>97</v>
      </c>
      <c r="H102" s="228" t="s">
        <v>835</v>
      </c>
      <c r="I102" s="228" t="s">
        <v>836</v>
      </c>
      <c r="J102" s="228" t="s">
        <v>97</v>
      </c>
      <c r="K102" s="63" t="s">
        <v>837</v>
      </c>
      <c r="L102" s="13"/>
      <c r="M102" s="24" t="s">
        <v>181</v>
      </c>
      <c r="N102" s="13">
        <f t="shared" si="46"/>
        <v>2349.8000000000002</v>
      </c>
      <c r="O102" s="13">
        <f t="shared" si="46"/>
        <v>2349.8000000000002</v>
      </c>
      <c r="P102" s="13"/>
      <c r="Q102" s="13"/>
      <c r="R102" s="13">
        <v>2169</v>
      </c>
      <c r="S102" s="13">
        <v>2169</v>
      </c>
      <c r="T102" s="13"/>
      <c r="U102" s="13"/>
      <c r="V102" s="13">
        <v>180.8</v>
      </c>
      <c r="W102" s="13">
        <v>180.8</v>
      </c>
      <c r="X102" s="13">
        <f>Y102+Z102+AA102+AB102</f>
        <v>2409.6999999999998</v>
      </c>
      <c r="Y102" s="13"/>
      <c r="Z102" s="13">
        <v>2229</v>
      </c>
      <c r="AA102" s="13"/>
      <c r="AB102" s="13">
        <v>180.7</v>
      </c>
      <c r="AC102" s="13">
        <f>AD102+AE102+AF102+AG102</f>
        <v>2409.6999999999998</v>
      </c>
      <c r="AD102" s="13"/>
      <c r="AE102" s="13">
        <v>2229</v>
      </c>
      <c r="AF102" s="13"/>
      <c r="AG102" s="13">
        <v>180.7</v>
      </c>
      <c r="AH102" s="13">
        <f>AI102+AJ102+AK102+AL102</f>
        <v>2409.6999999999998</v>
      </c>
      <c r="AI102" s="13"/>
      <c r="AJ102" s="13">
        <v>2229</v>
      </c>
      <c r="AK102" s="13"/>
      <c r="AL102" s="13">
        <v>180.7</v>
      </c>
      <c r="AM102" s="13">
        <f>AN102+AO102+AP102+AQ102</f>
        <v>2409.6999999999998</v>
      </c>
      <c r="AN102" s="13"/>
      <c r="AO102" s="13">
        <v>2229</v>
      </c>
      <c r="AP102" s="13"/>
      <c r="AQ102" s="13">
        <v>180.7</v>
      </c>
    </row>
    <row r="103" spans="1:43" ht="35.1" customHeight="1" thickBot="1">
      <c r="A103" s="14"/>
      <c r="B103" s="22"/>
      <c r="C103" s="228"/>
      <c r="D103" s="228"/>
      <c r="E103" s="228"/>
      <c r="F103" s="230" t="s">
        <v>838</v>
      </c>
      <c r="G103" s="228" t="s">
        <v>147</v>
      </c>
      <c r="H103" s="67" t="s">
        <v>839</v>
      </c>
      <c r="I103" s="228" t="s">
        <v>840</v>
      </c>
      <c r="J103" s="228" t="s">
        <v>147</v>
      </c>
      <c r="K103" s="27" t="s">
        <v>841</v>
      </c>
      <c r="L103" s="13"/>
      <c r="M103" s="24" t="s">
        <v>182</v>
      </c>
      <c r="N103" s="13">
        <f t="shared" si="46"/>
        <v>0</v>
      </c>
      <c r="O103" s="13">
        <f>Q103+S103+U103+W103</f>
        <v>0</v>
      </c>
      <c r="P103" s="13">
        <v>0</v>
      </c>
      <c r="Q103" s="13">
        <v>0</v>
      </c>
      <c r="R103" s="13"/>
      <c r="S103" s="13"/>
      <c r="T103" s="13"/>
      <c r="U103" s="13"/>
      <c r="V103" s="13">
        <v>0</v>
      </c>
      <c r="W103" s="13"/>
      <c r="X103" s="13">
        <f>Y103+Z103+AA103+AB103</f>
        <v>16289.9</v>
      </c>
      <c r="Y103" s="13">
        <v>9514.9</v>
      </c>
      <c r="Z103" s="13">
        <v>6612.1</v>
      </c>
      <c r="AA103" s="13"/>
      <c r="AB103" s="13">
        <v>162.9</v>
      </c>
      <c r="AC103" s="13">
        <f>AD103+AE103+AF103+AG103</f>
        <v>0</v>
      </c>
      <c r="AD103" s="13">
        <v>0</v>
      </c>
      <c r="AE103" s="13">
        <v>0</v>
      </c>
      <c r="AF103" s="13"/>
      <c r="AG103" s="13">
        <v>0</v>
      </c>
      <c r="AH103" s="13">
        <f>AI103+AJ103+AK103+AL103</f>
        <v>0</v>
      </c>
      <c r="AI103" s="13">
        <v>0</v>
      </c>
      <c r="AJ103" s="13">
        <v>0</v>
      </c>
      <c r="AK103" s="13"/>
      <c r="AL103" s="13">
        <v>0</v>
      </c>
      <c r="AM103" s="13">
        <f>AN103+AO103+AP103+AQ103</f>
        <v>0</v>
      </c>
      <c r="AN103" s="13">
        <v>0</v>
      </c>
      <c r="AO103" s="13">
        <v>0</v>
      </c>
      <c r="AP103" s="13"/>
      <c r="AQ103" s="13">
        <v>0</v>
      </c>
    </row>
    <row r="104" spans="1:43" ht="35.1" customHeight="1" thickBot="1">
      <c r="A104" s="17"/>
      <c r="B104" s="64"/>
      <c r="C104" s="24"/>
      <c r="D104" s="24"/>
      <c r="E104" s="24"/>
      <c r="F104" s="45" t="s">
        <v>184</v>
      </c>
      <c r="G104" s="183" t="s">
        <v>147</v>
      </c>
      <c r="H104" s="179" t="s">
        <v>784</v>
      </c>
      <c r="I104" s="44" t="s">
        <v>842</v>
      </c>
      <c r="J104" s="13" t="s">
        <v>97</v>
      </c>
      <c r="K104" s="44" t="s">
        <v>843</v>
      </c>
      <c r="L104" s="20"/>
      <c r="M104" s="24" t="s">
        <v>183</v>
      </c>
      <c r="N104" s="13">
        <f t="shared" ref="N104:N117" si="51">P104+R104+T104+V104</f>
        <v>1609.1999999999998</v>
      </c>
      <c r="O104" s="13">
        <f t="shared" ref="O104:O117" si="52">Q104+S104+U104+W104</f>
        <v>1608.8</v>
      </c>
      <c r="P104" s="13">
        <f>1799-338.4+52.1</f>
        <v>1512.6999999999998</v>
      </c>
      <c r="Q104" s="13">
        <v>1512.3</v>
      </c>
      <c r="R104" s="13">
        <f>114.8-21.6+3.3</f>
        <v>96.499999999999986</v>
      </c>
      <c r="S104" s="13">
        <v>96.5</v>
      </c>
      <c r="T104" s="13"/>
      <c r="U104" s="13"/>
      <c r="V104" s="13"/>
      <c r="W104" s="13"/>
      <c r="X104" s="13">
        <f t="shared" ref="X104:X117" si="53">Y104+Z104+AA104+AB104</f>
        <v>0</v>
      </c>
      <c r="Y104" s="13"/>
      <c r="Z104" s="13"/>
      <c r="AA104" s="13"/>
      <c r="AB104" s="13">
        <v>0</v>
      </c>
      <c r="AC104" s="13">
        <f t="shared" ref="AC104:AC113" si="54">AD104+AE104+AF104+AG104</f>
        <v>0</v>
      </c>
      <c r="AD104" s="13"/>
      <c r="AE104" s="13"/>
      <c r="AF104" s="13"/>
      <c r="AG104" s="13">
        <v>0</v>
      </c>
      <c r="AH104" s="13">
        <f t="shared" ref="AH104:AH113" si="55">AI104+AJ104+AK104+AL104</f>
        <v>0</v>
      </c>
      <c r="AI104" s="13"/>
      <c r="AJ104" s="13"/>
      <c r="AK104" s="13"/>
      <c r="AL104" s="13">
        <v>0</v>
      </c>
      <c r="AM104" s="13">
        <f t="shared" ref="AM104:AM113" si="56">AN104+AO104+AP104+AQ104</f>
        <v>0</v>
      </c>
      <c r="AN104" s="13"/>
      <c r="AO104" s="13"/>
      <c r="AP104" s="13"/>
      <c r="AQ104" s="13">
        <v>0</v>
      </c>
    </row>
    <row r="105" spans="1:43" ht="35.1" customHeight="1" thickBot="1">
      <c r="A105" s="17"/>
      <c r="B105" s="64"/>
      <c r="C105" s="24"/>
      <c r="D105" s="24"/>
      <c r="E105" s="24"/>
      <c r="I105" s="44" t="s">
        <v>842</v>
      </c>
      <c r="J105" s="13" t="s">
        <v>97</v>
      </c>
      <c r="K105" s="44" t="s">
        <v>843</v>
      </c>
      <c r="L105" s="20"/>
      <c r="M105" s="24" t="s">
        <v>185</v>
      </c>
      <c r="N105" s="13">
        <f t="shared" si="51"/>
        <v>382.8</v>
      </c>
      <c r="O105" s="13">
        <f t="shared" si="52"/>
        <v>382.8</v>
      </c>
      <c r="P105" s="13">
        <v>359.8</v>
      </c>
      <c r="Q105" s="13">
        <v>359.8</v>
      </c>
      <c r="R105" s="13">
        <v>23</v>
      </c>
      <c r="S105" s="13">
        <v>23</v>
      </c>
      <c r="T105" s="13"/>
      <c r="U105" s="13"/>
      <c r="V105" s="13"/>
      <c r="W105" s="13"/>
      <c r="X105" s="13">
        <f t="shared" si="53"/>
        <v>0</v>
      </c>
      <c r="Y105" s="13"/>
      <c r="Z105" s="13"/>
      <c r="AA105" s="13"/>
      <c r="AB105" s="13">
        <v>0</v>
      </c>
      <c r="AC105" s="13">
        <f t="shared" si="54"/>
        <v>0</v>
      </c>
      <c r="AD105" s="13"/>
      <c r="AE105" s="13"/>
      <c r="AF105" s="13"/>
      <c r="AG105" s="13">
        <v>0</v>
      </c>
      <c r="AH105" s="13">
        <f t="shared" si="55"/>
        <v>0</v>
      </c>
      <c r="AI105" s="13"/>
      <c r="AJ105" s="13"/>
      <c r="AK105" s="13"/>
      <c r="AL105" s="13">
        <v>0</v>
      </c>
      <c r="AM105" s="13">
        <f t="shared" si="56"/>
        <v>0</v>
      </c>
      <c r="AN105" s="13"/>
      <c r="AO105" s="13"/>
      <c r="AP105" s="13"/>
      <c r="AQ105" s="13">
        <v>0</v>
      </c>
    </row>
    <row r="106" spans="1:43" ht="35.1" customHeight="1" thickBot="1">
      <c r="A106" s="17"/>
      <c r="B106" s="64"/>
      <c r="C106" s="24"/>
      <c r="D106" s="24"/>
      <c r="E106" s="24"/>
      <c r="F106" s="55"/>
      <c r="G106" s="24"/>
      <c r="H106" s="24"/>
      <c r="I106" s="25" t="s">
        <v>186</v>
      </c>
      <c r="J106" s="228" t="s">
        <v>147</v>
      </c>
      <c r="K106" s="75" t="s">
        <v>777</v>
      </c>
      <c r="L106" s="20"/>
      <c r="M106" s="24" t="s">
        <v>187</v>
      </c>
      <c r="N106" s="13">
        <f>P106+R106+T106+V106</f>
        <v>306.59999999999997</v>
      </c>
      <c r="O106" s="13">
        <f t="shared" si="52"/>
        <v>306.59999999999997</v>
      </c>
      <c r="P106" s="13">
        <v>288.2</v>
      </c>
      <c r="Q106" s="13">
        <v>288.2</v>
      </c>
      <c r="R106" s="13">
        <v>18.399999999999999</v>
      </c>
      <c r="S106" s="13">
        <v>18.399999999999999</v>
      </c>
      <c r="T106" s="13"/>
      <c r="U106" s="13"/>
      <c r="V106" s="13"/>
      <c r="W106" s="13"/>
      <c r="X106" s="13">
        <f t="shared" si="53"/>
        <v>0</v>
      </c>
      <c r="Y106" s="13"/>
      <c r="Z106" s="13"/>
      <c r="AA106" s="13"/>
      <c r="AB106" s="13">
        <v>0</v>
      </c>
      <c r="AC106" s="13">
        <v>0</v>
      </c>
      <c r="AD106" s="13"/>
      <c r="AE106" s="13"/>
      <c r="AF106" s="13"/>
      <c r="AG106" s="13">
        <v>0</v>
      </c>
      <c r="AH106" s="13">
        <v>0</v>
      </c>
      <c r="AI106" s="13"/>
      <c r="AJ106" s="13"/>
      <c r="AK106" s="13"/>
      <c r="AL106" s="13">
        <v>0</v>
      </c>
      <c r="AM106" s="13">
        <v>0</v>
      </c>
      <c r="AN106" s="13"/>
      <c r="AO106" s="13"/>
      <c r="AP106" s="13"/>
      <c r="AQ106" s="13">
        <v>0</v>
      </c>
    </row>
    <row r="107" spans="1:43" ht="35.1" customHeight="1" thickBot="1">
      <c r="A107" s="14"/>
      <c r="B107" s="22"/>
      <c r="C107" s="228"/>
      <c r="D107" s="228"/>
      <c r="E107" s="228"/>
      <c r="F107" s="228"/>
      <c r="G107" s="228"/>
      <c r="H107" s="228"/>
      <c r="I107" s="63"/>
      <c r="J107" s="228"/>
      <c r="K107" s="63"/>
      <c r="L107" s="13"/>
      <c r="M107" s="24" t="s">
        <v>188</v>
      </c>
      <c r="N107" s="13">
        <f t="shared" si="51"/>
        <v>7266.1</v>
      </c>
      <c r="O107" s="13">
        <f t="shared" si="52"/>
        <v>7264.1</v>
      </c>
      <c r="P107" s="13"/>
      <c r="Q107" s="13"/>
      <c r="R107" s="13"/>
      <c r="S107" s="13"/>
      <c r="T107" s="13"/>
      <c r="U107" s="13"/>
      <c r="V107" s="13">
        <f>6775.5+150+42+565.1+94-210.5-150</f>
        <v>7266.1</v>
      </c>
      <c r="W107" s="13">
        <v>7264.1</v>
      </c>
      <c r="X107" s="13">
        <f t="shared" si="53"/>
        <v>5638.6</v>
      </c>
      <c r="Y107" s="13"/>
      <c r="Z107" s="13"/>
      <c r="AA107" s="13"/>
      <c r="AB107" s="13">
        <v>5638.6</v>
      </c>
      <c r="AC107" s="13">
        <f t="shared" si="54"/>
        <v>5638.6</v>
      </c>
      <c r="AD107" s="13"/>
      <c r="AE107" s="13"/>
      <c r="AF107" s="13"/>
      <c r="AG107" s="13">
        <v>5638.6</v>
      </c>
      <c r="AH107" s="13">
        <f t="shared" si="55"/>
        <v>5638.6</v>
      </c>
      <c r="AI107" s="13"/>
      <c r="AJ107" s="13"/>
      <c r="AK107" s="13"/>
      <c r="AL107" s="13">
        <v>5638.6</v>
      </c>
      <c r="AM107" s="13">
        <f t="shared" si="56"/>
        <v>5638.6</v>
      </c>
      <c r="AN107" s="13"/>
      <c r="AO107" s="13"/>
      <c r="AP107" s="13"/>
      <c r="AQ107" s="13">
        <v>5638.6</v>
      </c>
    </row>
    <row r="108" spans="1:43" ht="35.1" customHeight="1" thickBot="1">
      <c r="A108" s="14"/>
      <c r="B108" s="22"/>
      <c r="C108" s="228"/>
      <c r="D108" s="228"/>
      <c r="E108" s="228"/>
      <c r="F108" s="228"/>
      <c r="G108" s="228"/>
      <c r="H108" s="228"/>
      <c r="I108" s="69" t="s">
        <v>727</v>
      </c>
      <c r="J108" s="228" t="s">
        <v>147</v>
      </c>
      <c r="K108" s="63" t="s">
        <v>785</v>
      </c>
      <c r="L108" s="13"/>
      <c r="M108" s="24" t="s">
        <v>189</v>
      </c>
      <c r="N108" s="13">
        <f t="shared" si="51"/>
        <v>10875.6</v>
      </c>
      <c r="O108" s="13">
        <f t="shared" si="52"/>
        <v>10861.8</v>
      </c>
      <c r="P108" s="13"/>
      <c r="Q108" s="13"/>
      <c r="R108" s="13"/>
      <c r="S108" s="13"/>
      <c r="T108" s="13"/>
      <c r="U108" s="13"/>
      <c r="V108" s="13">
        <f>25+746.4+2092.5+192.1+3687+259.5+100+189.5+550+70+350+0.1+8.5+1427.4+977+200.6</f>
        <v>10875.6</v>
      </c>
      <c r="W108" s="13">
        <v>10861.8</v>
      </c>
      <c r="X108" s="13">
        <f t="shared" si="53"/>
        <v>42</v>
      </c>
      <c r="Y108" s="13"/>
      <c r="Z108" s="13"/>
      <c r="AA108" s="13"/>
      <c r="AB108" s="13">
        <v>42</v>
      </c>
      <c r="AC108" s="13">
        <f t="shared" si="54"/>
        <v>42</v>
      </c>
      <c r="AD108" s="13"/>
      <c r="AE108" s="13"/>
      <c r="AF108" s="13"/>
      <c r="AG108" s="13">
        <v>42</v>
      </c>
      <c r="AH108" s="13">
        <f t="shared" si="55"/>
        <v>42</v>
      </c>
      <c r="AI108" s="13"/>
      <c r="AJ108" s="13"/>
      <c r="AK108" s="13"/>
      <c r="AL108" s="13">
        <v>42</v>
      </c>
      <c r="AM108" s="13">
        <f t="shared" si="56"/>
        <v>42</v>
      </c>
      <c r="AN108" s="13"/>
      <c r="AO108" s="13"/>
      <c r="AP108" s="13"/>
      <c r="AQ108" s="13">
        <v>42</v>
      </c>
    </row>
    <row r="109" spans="1:43" ht="35.1" customHeight="1" thickBot="1">
      <c r="A109" s="14"/>
      <c r="B109" s="22"/>
      <c r="C109" s="228"/>
      <c r="D109" s="228"/>
      <c r="E109" s="228"/>
      <c r="F109" s="228"/>
      <c r="G109" s="228"/>
      <c r="H109" s="228"/>
      <c r="I109" s="63"/>
      <c r="J109" s="228"/>
      <c r="K109" s="63"/>
      <c r="L109" s="13"/>
      <c r="M109" s="24" t="s">
        <v>190</v>
      </c>
      <c r="N109" s="13">
        <f t="shared" si="51"/>
        <v>2634.3</v>
      </c>
      <c r="O109" s="13">
        <f t="shared" si="52"/>
        <v>2634.3</v>
      </c>
      <c r="P109" s="13"/>
      <c r="Q109" s="13"/>
      <c r="R109" s="13"/>
      <c r="S109" s="13"/>
      <c r="T109" s="13"/>
      <c r="U109" s="13"/>
      <c r="V109" s="13">
        <f>1571.1+7772.5-7772.5+57.8+56+150+361.3+131.9+306.2</f>
        <v>2634.3</v>
      </c>
      <c r="W109" s="13">
        <v>2634.3</v>
      </c>
      <c r="X109" s="13">
        <f t="shared" si="53"/>
        <v>756.3</v>
      </c>
      <c r="Y109" s="13"/>
      <c r="Z109" s="13"/>
      <c r="AA109" s="13"/>
      <c r="AB109" s="13">
        <v>756.3</v>
      </c>
      <c r="AC109" s="13">
        <f t="shared" si="54"/>
        <v>756.3</v>
      </c>
      <c r="AD109" s="13"/>
      <c r="AE109" s="13"/>
      <c r="AF109" s="13"/>
      <c r="AG109" s="13">
        <v>756.3</v>
      </c>
      <c r="AH109" s="13">
        <f t="shared" si="55"/>
        <v>756.3</v>
      </c>
      <c r="AI109" s="13"/>
      <c r="AJ109" s="13"/>
      <c r="AK109" s="13"/>
      <c r="AL109" s="13">
        <v>756.3</v>
      </c>
      <c r="AM109" s="13">
        <f t="shared" si="56"/>
        <v>756.3</v>
      </c>
      <c r="AN109" s="13"/>
      <c r="AO109" s="13"/>
      <c r="AP109" s="13"/>
      <c r="AQ109" s="13">
        <v>756.3</v>
      </c>
    </row>
    <row r="110" spans="1:43" ht="35.1" customHeight="1" thickBot="1">
      <c r="A110" s="14"/>
      <c r="B110" s="22"/>
      <c r="C110" s="228"/>
      <c r="D110" s="228"/>
      <c r="E110" s="228"/>
      <c r="F110" s="228"/>
      <c r="G110" s="228"/>
      <c r="H110" s="228"/>
      <c r="I110" s="63"/>
      <c r="J110" s="228"/>
      <c r="K110" s="63"/>
      <c r="L110" s="13"/>
      <c r="M110" s="24" t="s">
        <v>191</v>
      </c>
      <c r="N110" s="13">
        <f t="shared" si="51"/>
        <v>14733.5</v>
      </c>
      <c r="O110" s="13">
        <f t="shared" si="52"/>
        <v>13943.4</v>
      </c>
      <c r="P110" s="13"/>
      <c r="Q110" s="13"/>
      <c r="R110" s="13"/>
      <c r="S110" s="13"/>
      <c r="T110" s="13"/>
      <c r="U110" s="13"/>
      <c r="V110" s="13">
        <f>13653.4+77.1+194.6+182.2+362.2+1569.4-94+210.5-362.2-1165.5+106-0.2</f>
        <v>14733.5</v>
      </c>
      <c r="W110" s="13">
        <v>13943.4</v>
      </c>
      <c r="X110" s="13">
        <f t="shared" si="53"/>
        <v>16910.400000000001</v>
      </c>
      <c r="Y110" s="13"/>
      <c r="Z110" s="13"/>
      <c r="AA110" s="13"/>
      <c r="AB110" s="13">
        <f>15465.4+1445</f>
        <v>16910.400000000001</v>
      </c>
      <c r="AC110" s="13">
        <f t="shared" si="54"/>
        <v>16910.400000000001</v>
      </c>
      <c r="AD110" s="13"/>
      <c r="AE110" s="13"/>
      <c r="AF110" s="13"/>
      <c r="AG110" s="13">
        <v>16910.400000000001</v>
      </c>
      <c r="AH110" s="13">
        <f t="shared" si="55"/>
        <v>16910.400000000001</v>
      </c>
      <c r="AI110" s="13"/>
      <c r="AJ110" s="13"/>
      <c r="AK110" s="13"/>
      <c r="AL110" s="13">
        <v>16910.400000000001</v>
      </c>
      <c r="AM110" s="13">
        <f t="shared" si="56"/>
        <v>16910.400000000001</v>
      </c>
      <c r="AN110" s="13"/>
      <c r="AO110" s="13"/>
      <c r="AP110" s="13"/>
      <c r="AQ110" s="13">
        <v>16910.400000000001</v>
      </c>
    </row>
    <row r="111" spans="1:43" ht="35.1" customHeight="1" thickBot="1">
      <c r="A111" s="14"/>
      <c r="B111" s="22"/>
      <c r="C111" s="228"/>
      <c r="D111" s="228"/>
      <c r="E111" s="228"/>
      <c r="F111" s="228"/>
      <c r="G111" s="228"/>
      <c r="H111" s="228"/>
      <c r="I111" s="63"/>
      <c r="J111" s="228"/>
      <c r="K111" s="63"/>
      <c r="L111" s="13"/>
      <c r="M111" s="24" t="s">
        <v>192</v>
      </c>
      <c r="N111" s="13">
        <f t="shared" si="51"/>
        <v>6890.4</v>
      </c>
      <c r="O111" s="13">
        <f t="shared" si="52"/>
        <v>6033.2</v>
      </c>
      <c r="P111" s="13"/>
      <c r="Q111" s="13"/>
      <c r="R111" s="13"/>
      <c r="S111" s="13"/>
      <c r="T111" s="13"/>
      <c r="U111" s="13"/>
      <c r="V111" s="13">
        <f>6187.2+341+362.2</f>
        <v>6890.4</v>
      </c>
      <c r="W111" s="13">
        <v>6033.2</v>
      </c>
      <c r="X111" s="13">
        <f t="shared" si="53"/>
        <v>7310.9</v>
      </c>
      <c r="Y111" s="13"/>
      <c r="Z111" s="13"/>
      <c r="AA111" s="13"/>
      <c r="AB111" s="13">
        <v>7310.9</v>
      </c>
      <c r="AC111" s="13">
        <f t="shared" si="54"/>
        <v>7310.9</v>
      </c>
      <c r="AD111" s="13"/>
      <c r="AE111" s="13"/>
      <c r="AF111" s="13"/>
      <c r="AG111" s="13">
        <v>7310.9</v>
      </c>
      <c r="AH111" s="13">
        <f t="shared" si="55"/>
        <v>7310.9</v>
      </c>
      <c r="AI111" s="13"/>
      <c r="AJ111" s="13"/>
      <c r="AK111" s="13"/>
      <c r="AL111" s="13">
        <v>7310.9</v>
      </c>
      <c r="AM111" s="13">
        <f t="shared" si="56"/>
        <v>7310.9</v>
      </c>
      <c r="AN111" s="13"/>
      <c r="AO111" s="13"/>
      <c r="AP111" s="13"/>
      <c r="AQ111" s="13">
        <v>7310.9</v>
      </c>
    </row>
    <row r="112" spans="1:43" ht="35.1" customHeight="1" thickBot="1">
      <c r="A112" s="14"/>
      <c r="B112" s="22"/>
      <c r="C112" s="228"/>
      <c r="D112" s="228"/>
      <c r="E112" s="228"/>
      <c r="F112" s="228"/>
      <c r="G112" s="228"/>
      <c r="H112" s="228"/>
      <c r="I112" s="63"/>
      <c r="J112" s="228"/>
      <c r="K112" s="63"/>
      <c r="L112" s="13"/>
      <c r="M112" s="24" t="s">
        <v>193</v>
      </c>
      <c r="N112" s="13">
        <f t="shared" si="51"/>
        <v>40712.699999999997</v>
      </c>
      <c r="O112" s="13">
        <f t="shared" si="52"/>
        <v>40712.699999999997</v>
      </c>
      <c r="P112" s="13"/>
      <c r="Q112" s="13"/>
      <c r="R112" s="13"/>
      <c r="S112" s="13"/>
      <c r="T112" s="13"/>
      <c r="U112" s="13"/>
      <c r="V112" s="13">
        <f>34732.1+3899.7+820.7-565.1+577.3+0.1+1247.9</f>
        <v>40712.699999999997</v>
      </c>
      <c r="W112" s="13">
        <v>40712.699999999997</v>
      </c>
      <c r="X112" s="13">
        <f t="shared" si="53"/>
        <v>41770.5</v>
      </c>
      <c r="Y112" s="13"/>
      <c r="Z112" s="13"/>
      <c r="AA112" s="13"/>
      <c r="AB112" s="13">
        <f>39723.9+2046.6</f>
        <v>41770.5</v>
      </c>
      <c r="AC112" s="13">
        <f t="shared" si="54"/>
        <v>41770.5</v>
      </c>
      <c r="AD112" s="13"/>
      <c r="AE112" s="13"/>
      <c r="AF112" s="13"/>
      <c r="AG112" s="13">
        <f>39723.9+2046.6</f>
        <v>41770.5</v>
      </c>
      <c r="AH112" s="13">
        <f t="shared" si="55"/>
        <v>41770.5</v>
      </c>
      <c r="AI112" s="13"/>
      <c r="AJ112" s="13"/>
      <c r="AK112" s="13"/>
      <c r="AL112" s="13">
        <f>39723.9+2046.6</f>
        <v>41770.5</v>
      </c>
      <c r="AM112" s="13">
        <f t="shared" si="56"/>
        <v>41770.5</v>
      </c>
      <c r="AN112" s="13"/>
      <c r="AO112" s="13"/>
      <c r="AP112" s="13"/>
      <c r="AQ112" s="13">
        <f>2046.6+39723.9</f>
        <v>41770.5</v>
      </c>
    </row>
    <row r="113" spans="1:43" ht="35.1" customHeight="1" thickBot="1">
      <c r="A113" s="14"/>
      <c r="B113" s="22"/>
      <c r="C113" s="228"/>
      <c r="D113" s="228"/>
      <c r="E113" s="228"/>
      <c r="F113" s="228"/>
      <c r="G113" s="228"/>
      <c r="H113" s="228"/>
      <c r="I113" s="228" t="s">
        <v>194</v>
      </c>
      <c r="J113" s="228" t="s">
        <v>147</v>
      </c>
      <c r="K113" s="63" t="s">
        <v>786</v>
      </c>
      <c r="L113" s="13"/>
      <c r="M113" s="24" t="s">
        <v>195</v>
      </c>
      <c r="N113" s="13">
        <f t="shared" si="51"/>
        <v>9672.2999999999993</v>
      </c>
      <c r="O113" s="13">
        <f t="shared" si="52"/>
        <v>9672.2999999999993</v>
      </c>
      <c r="P113" s="13"/>
      <c r="Q113" s="13"/>
      <c r="R113" s="13"/>
      <c r="S113" s="13"/>
      <c r="T113" s="13"/>
      <c r="U113" s="13"/>
      <c r="V113" s="13">
        <f>8671+719.9+41.4+240</f>
        <v>9672.2999999999993</v>
      </c>
      <c r="W113" s="13">
        <v>9672.2999999999993</v>
      </c>
      <c r="X113" s="13">
        <f t="shared" si="53"/>
        <v>9738.7999999999993</v>
      </c>
      <c r="Y113" s="13"/>
      <c r="Z113" s="13"/>
      <c r="AA113" s="13"/>
      <c r="AB113" s="13">
        <v>9738.7999999999993</v>
      </c>
      <c r="AC113" s="13">
        <f t="shared" si="54"/>
        <v>9738.7000000000007</v>
      </c>
      <c r="AD113" s="13"/>
      <c r="AE113" s="13"/>
      <c r="AF113" s="13"/>
      <c r="AG113" s="13">
        <v>9738.7000000000007</v>
      </c>
      <c r="AH113" s="13">
        <f t="shared" si="55"/>
        <v>9738.7000000000007</v>
      </c>
      <c r="AI113" s="13"/>
      <c r="AJ113" s="13"/>
      <c r="AK113" s="13"/>
      <c r="AL113" s="13">
        <v>9738.7000000000007</v>
      </c>
      <c r="AM113" s="13">
        <f t="shared" si="56"/>
        <v>9738.7000000000007</v>
      </c>
      <c r="AN113" s="13"/>
      <c r="AO113" s="13"/>
      <c r="AP113" s="13"/>
      <c r="AQ113" s="13">
        <v>9738.7000000000007</v>
      </c>
    </row>
    <row r="114" spans="1:43" ht="35.1" customHeight="1" thickBot="1">
      <c r="A114" s="14"/>
      <c r="B114" s="22"/>
      <c r="C114" s="228"/>
      <c r="D114" s="228"/>
      <c r="E114" s="228"/>
      <c r="F114" s="213"/>
      <c r="G114" s="228"/>
      <c r="H114" s="228"/>
      <c r="I114" s="63"/>
      <c r="J114" s="228"/>
      <c r="K114" s="63"/>
      <c r="L114" s="13"/>
      <c r="M114" s="24" t="s">
        <v>196</v>
      </c>
      <c r="N114" s="13">
        <f t="shared" si="51"/>
        <v>15067.5</v>
      </c>
      <c r="O114" s="13">
        <f t="shared" si="52"/>
        <v>14407.4</v>
      </c>
      <c r="P114" s="13"/>
      <c r="Q114" s="13"/>
      <c r="R114" s="13"/>
      <c r="S114" s="13"/>
      <c r="T114" s="13"/>
      <c r="U114" s="13"/>
      <c r="V114" s="13">
        <f>15500+2322.5-15500+12740+5</f>
        <v>15067.5</v>
      </c>
      <c r="W114" s="13">
        <v>14407.4</v>
      </c>
      <c r="X114" s="13">
        <f t="shared" si="53"/>
        <v>0</v>
      </c>
      <c r="Y114" s="13"/>
      <c r="Z114" s="13"/>
      <c r="AA114" s="13"/>
      <c r="AB114" s="13">
        <v>0</v>
      </c>
      <c r="AC114" s="13">
        <v>0</v>
      </c>
      <c r="AD114" s="13"/>
      <c r="AE114" s="13"/>
      <c r="AF114" s="13"/>
      <c r="AG114" s="13">
        <v>0</v>
      </c>
      <c r="AH114" s="13">
        <v>0</v>
      </c>
      <c r="AI114" s="13"/>
      <c r="AJ114" s="13"/>
      <c r="AK114" s="13"/>
      <c r="AL114" s="13">
        <v>0</v>
      </c>
      <c r="AM114" s="13">
        <v>0</v>
      </c>
      <c r="AN114" s="13"/>
      <c r="AO114" s="13"/>
      <c r="AP114" s="13"/>
      <c r="AQ114" s="13">
        <v>0</v>
      </c>
    </row>
    <row r="115" spans="1:43" ht="35.1" customHeight="1" thickBot="1">
      <c r="A115" s="14"/>
      <c r="B115" s="22"/>
      <c r="C115" s="228"/>
      <c r="D115" s="228"/>
      <c r="E115" s="228"/>
      <c r="F115" s="207" t="s">
        <v>197</v>
      </c>
      <c r="G115" s="213" t="s">
        <v>147</v>
      </c>
      <c r="H115" s="213" t="s">
        <v>148</v>
      </c>
      <c r="I115" s="228" t="s">
        <v>199</v>
      </c>
      <c r="J115" s="213" t="s">
        <v>147</v>
      </c>
      <c r="K115" s="27">
        <v>46022</v>
      </c>
      <c r="L115" s="13"/>
      <c r="M115" s="24" t="s">
        <v>198</v>
      </c>
      <c r="N115" s="13">
        <f t="shared" si="51"/>
        <v>17772.5</v>
      </c>
      <c r="O115" s="13">
        <f t="shared" si="52"/>
        <v>17772.5</v>
      </c>
      <c r="P115" s="13"/>
      <c r="Q115" s="13"/>
      <c r="R115" s="13">
        <v>10000</v>
      </c>
      <c r="S115" s="13">
        <v>10000</v>
      </c>
      <c r="T115" s="13"/>
      <c r="U115" s="13"/>
      <c r="V115" s="13">
        <v>7772.5</v>
      </c>
      <c r="W115" s="13">
        <v>7772.5</v>
      </c>
      <c r="X115" s="13">
        <f t="shared" si="53"/>
        <v>0</v>
      </c>
      <c r="Y115" s="13"/>
      <c r="Z115" s="13"/>
      <c r="AA115" s="13"/>
      <c r="AB115" s="13">
        <v>0</v>
      </c>
      <c r="AC115" s="13">
        <v>0</v>
      </c>
      <c r="AD115" s="13"/>
      <c r="AE115" s="13"/>
      <c r="AF115" s="13"/>
      <c r="AG115" s="13">
        <v>0</v>
      </c>
      <c r="AH115" s="13">
        <v>0</v>
      </c>
      <c r="AI115" s="13"/>
      <c r="AJ115" s="13"/>
      <c r="AK115" s="13"/>
      <c r="AL115" s="13">
        <v>0</v>
      </c>
      <c r="AM115" s="13">
        <v>0</v>
      </c>
      <c r="AN115" s="13"/>
      <c r="AO115" s="13"/>
      <c r="AP115" s="13"/>
      <c r="AQ115" s="13">
        <v>0</v>
      </c>
    </row>
    <row r="116" spans="1:43" ht="35.1" customHeight="1" thickBot="1">
      <c r="A116" s="14"/>
      <c r="B116" s="22"/>
      <c r="C116" s="63"/>
      <c r="D116" s="228"/>
      <c r="E116" s="228"/>
      <c r="F116" s="213"/>
      <c r="G116" s="228"/>
      <c r="H116" s="228"/>
      <c r="I116" s="228" t="s">
        <v>199</v>
      </c>
      <c r="J116" s="213" t="s">
        <v>147</v>
      </c>
      <c r="K116" s="27">
        <v>46022</v>
      </c>
      <c r="L116" s="13"/>
      <c r="M116" s="24" t="s">
        <v>200</v>
      </c>
      <c r="N116" s="13">
        <f t="shared" si="51"/>
        <v>1289</v>
      </c>
      <c r="O116" s="13">
        <f t="shared" si="52"/>
        <v>1289</v>
      </c>
      <c r="P116" s="13"/>
      <c r="Q116" s="13"/>
      <c r="R116" s="13">
        <v>1185.9000000000001</v>
      </c>
      <c r="S116" s="13">
        <v>1185.9000000000001</v>
      </c>
      <c r="T116" s="13"/>
      <c r="U116" s="13"/>
      <c r="V116" s="13">
        <v>103.1</v>
      </c>
      <c r="W116" s="13">
        <v>103.1</v>
      </c>
      <c r="X116" s="13">
        <f t="shared" si="53"/>
        <v>0</v>
      </c>
      <c r="Y116" s="13"/>
      <c r="Z116" s="13"/>
      <c r="AA116" s="13"/>
      <c r="AB116" s="13">
        <v>0</v>
      </c>
      <c r="AC116" s="13">
        <v>0</v>
      </c>
      <c r="AD116" s="13"/>
      <c r="AE116" s="13"/>
      <c r="AF116" s="13"/>
      <c r="AG116" s="13">
        <v>0</v>
      </c>
      <c r="AH116" s="13">
        <v>0</v>
      </c>
      <c r="AI116" s="13"/>
      <c r="AJ116" s="13"/>
      <c r="AK116" s="13"/>
      <c r="AL116" s="13">
        <v>0</v>
      </c>
      <c r="AM116" s="13">
        <v>0</v>
      </c>
      <c r="AN116" s="13"/>
      <c r="AO116" s="13"/>
      <c r="AP116" s="13"/>
      <c r="AQ116" s="13">
        <v>0</v>
      </c>
    </row>
    <row r="117" spans="1:43" ht="35.1" customHeight="1" thickBot="1">
      <c r="A117" s="14"/>
      <c r="B117" s="22"/>
      <c r="C117" s="63"/>
      <c r="D117" s="228"/>
      <c r="E117" s="228"/>
      <c r="F117" s="213"/>
      <c r="G117" s="228"/>
      <c r="H117" s="228"/>
      <c r="I117" s="228" t="s">
        <v>201</v>
      </c>
      <c r="J117" s="213" t="s">
        <v>147</v>
      </c>
      <c r="K117" s="27">
        <v>46022</v>
      </c>
      <c r="L117" s="13"/>
      <c r="M117" s="24" t="s">
        <v>202</v>
      </c>
      <c r="N117" s="13">
        <f t="shared" si="51"/>
        <v>5000</v>
      </c>
      <c r="O117" s="13">
        <f t="shared" si="52"/>
        <v>5000</v>
      </c>
      <c r="P117" s="13"/>
      <c r="Q117" s="13"/>
      <c r="R117" s="13">
        <v>4500</v>
      </c>
      <c r="S117" s="13">
        <v>4500</v>
      </c>
      <c r="T117" s="13"/>
      <c r="U117" s="13"/>
      <c r="V117" s="13">
        <f>236.8+263.2</f>
        <v>500</v>
      </c>
      <c r="W117" s="13">
        <v>500</v>
      </c>
      <c r="X117" s="13">
        <f t="shared" si="53"/>
        <v>0</v>
      </c>
      <c r="Y117" s="13"/>
      <c r="Z117" s="13"/>
      <c r="AA117" s="13"/>
      <c r="AB117" s="13">
        <v>0</v>
      </c>
      <c r="AC117" s="13">
        <v>0</v>
      </c>
      <c r="AD117" s="13"/>
      <c r="AE117" s="13"/>
      <c r="AF117" s="13"/>
      <c r="AG117" s="13">
        <v>0</v>
      </c>
      <c r="AH117" s="13">
        <v>0</v>
      </c>
      <c r="AI117" s="13"/>
      <c r="AJ117" s="13"/>
      <c r="AK117" s="13"/>
      <c r="AL117" s="13">
        <v>0</v>
      </c>
      <c r="AM117" s="13">
        <v>0</v>
      </c>
      <c r="AN117" s="13"/>
      <c r="AO117" s="13"/>
      <c r="AP117" s="13"/>
      <c r="AQ117" s="13">
        <v>0</v>
      </c>
    </row>
    <row r="118" spans="1:43" ht="35.1" customHeight="1" thickBot="1">
      <c r="A118" s="17" t="s">
        <v>203</v>
      </c>
      <c r="B118" s="18">
        <v>2525</v>
      </c>
      <c r="C118" s="19"/>
      <c r="D118" s="20"/>
      <c r="E118" s="20"/>
      <c r="F118" s="20"/>
      <c r="G118" s="20"/>
      <c r="H118" s="20"/>
      <c r="I118" s="20"/>
      <c r="J118" s="20"/>
      <c r="K118" s="20"/>
      <c r="L118" s="20">
        <v>6</v>
      </c>
      <c r="M118" s="20"/>
      <c r="N118" s="20">
        <f>P118+R118+V118</f>
        <v>119864.30000000002</v>
      </c>
      <c r="O118" s="20">
        <f>Q118+S118+W118</f>
        <v>118041.40000000001</v>
      </c>
      <c r="P118" s="20">
        <v>0</v>
      </c>
      <c r="Q118" s="20">
        <v>0</v>
      </c>
      <c r="R118" s="20">
        <f>R119+R120+R131</f>
        <v>1295.5999999999999</v>
      </c>
      <c r="S118" s="20">
        <f>S119+S120+S131</f>
        <v>1274.8</v>
      </c>
      <c r="T118" s="20">
        <f>T119+T120+T131</f>
        <v>0</v>
      </c>
      <c r="U118" s="20">
        <f>U119+U120+U131</f>
        <v>0</v>
      </c>
      <c r="V118" s="20">
        <f>V120+V121+V122+V123+V124+V125+V126+V127+V128+V129+V130+V131+V132+V133+V134+V135</f>
        <v>118568.70000000001</v>
      </c>
      <c r="W118" s="20">
        <f>W120+W121+W122+W123+W124+W125+W126+W127+W128+W129+W130+W131+W132+W133+W134+W135</f>
        <v>116766.6</v>
      </c>
      <c r="X118" s="20">
        <f>X123+X125+X129+X132+X133+X134+X135+X124+X121+X122+X126+X127+X130+X128+X131+X120+X119</f>
        <v>110723.79999999999</v>
      </c>
      <c r="Y118" s="20">
        <f t="shared" ref="Y118:AQ118" si="57">Y123+Y125+Y129+Y132+Y133+Y134+Y135+Y124+Y121+Y122+Y126+Y127+Y130+Y128+Y131+Y120+Y119</f>
        <v>0</v>
      </c>
      <c r="Z118" s="20">
        <f t="shared" si="57"/>
        <v>0</v>
      </c>
      <c r="AA118" s="20">
        <f t="shared" si="57"/>
        <v>0</v>
      </c>
      <c r="AB118" s="20">
        <f t="shared" si="57"/>
        <v>110723.79999999999</v>
      </c>
      <c r="AC118" s="20">
        <f t="shared" si="57"/>
        <v>110723.79999999999</v>
      </c>
      <c r="AD118" s="20">
        <f t="shared" si="57"/>
        <v>0</v>
      </c>
      <c r="AE118" s="20">
        <f t="shared" si="57"/>
        <v>0</v>
      </c>
      <c r="AF118" s="20">
        <f t="shared" si="57"/>
        <v>0</v>
      </c>
      <c r="AG118" s="20">
        <f t="shared" si="57"/>
        <v>110723.79999999999</v>
      </c>
      <c r="AH118" s="20">
        <f t="shared" si="57"/>
        <v>110723.79999999999</v>
      </c>
      <c r="AI118" s="20">
        <f t="shared" si="57"/>
        <v>0</v>
      </c>
      <c r="AJ118" s="20">
        <f t="shared" si="57"/>
        <v>0</v>
      </c>
      <c r="AK118" s="20">
        <f t="shared" si="57"/>
        <v>0</v>
      </c>
      <c r="AL118" s="20">
        <f t="shared" si="57"/>
        <v>110723.79999999999</v>
      </c>
      <c r="AM118" s="20">
        <f t="shared" si="57"/>
        <v>110723.79999999999</v>
      </c>
      <c r="AN118" s="20">
        <f t="shared" si="57"/>
        <v>0</v>
      </c>
      <c r="AO118" s="20">
        <f t="shared" si="57"/>
        <v>0</v>
      </c>
      <c r="AP118" s="20">
        <f t="shared" si="57"/>
        <v>0</v>
      </c>
      <c r="AQ118" s="20">
        <f t="shared" si="57"/>
        <v>110723.79999999999</v>
      </c>
    </row>
    <row r="119" spans="1:43" ht="35.1" customHeight="1" thickBot="1">
      <c r="A119" s="14"/>
      <c r="B119" s="31"/>
      <c r="C119" s="243" t="s">
        <v>103</v>
      </c>
      <c r="D119" s="243" t="s">
        <v>142</v>
      </c>
      <c r="E119" s="243" t="s">
        <v>143</v>
      </c>
      <c r="F119" s="23" t="s">
        <v>144</v>
      </c>
      <c r="G119" s="23" t="s">
        <v>35</v>
      </c>
      <c r="H119" s="23" t="s">
        <v>145</v>
      </c>
      <c r="I119" s="45" t="s">
        <v>37</v>
      </c>
      <c r="J119" s="45" t="s">
        <v>731</v>
      </c>
      <c r="K119" s="179" t="s">
        <v>730</v>
      </c>
      <c r="L119" s="13"/>
      <c r="M119" s="24" t="s">
        <v>204</v>
      </c>
      <c r="N119" s="13">
        <f>R119</f>
        <v>532.1</v>
      </c>
      <c r="O119" s="13">
        <f>S119</f>
        <v>511.3</v>
      </c>
      <c r="P119" s="13"/>
      <c r="Q119" s="13"/>
      <c r="R119" s="13">
        <v>532.1</v>
      </c>
      <c r="S119" s="13">
        <v>511.3</v>
      </c>
      <c r="T119" s="13"/>
      <c r="U119" s="13"/>
      <c r="V119" s="13"/>
      <c r="W119" s="13"/>
      <c r="X119" s="13">
        <f>Y119+Z119+AA119+AB119</f>
        <v>0</v>
      </c>
      <c r="Y119" s="13"/>
      <c r="Z119" s="13"/>
      <c r="AA119" s="13"/>
      <c r="AB119" s="13"/>
      <c r="AC119" s="13"/>
      <c r="AD119" s="13"/>
      <c r="AE119" s="13"/>
      <c r="AF119" s="13"/>
      <c r="AG119" s="13"/>
      <c r="AH119" s="13"/>
      <c r="AI119" s="13"/>
      <c r="AJ119" s="13"/>
      <c r="AK119" s="13"/>
      <c r="AL119" s="13"/>
      <c r="AM119" s="13"/>
      <c r="AN119" s="13"/>
      <c r="AO119" s="13"/>
      <c r="AP119" s="13"/>
      <c r="AQ119" s="13"/>
    </row>
    <row r="120" spans="1:43" ht="35.1" customHeight="1" thickBot="1">
      <c r="A120" s="14"/>
      <c r="B120" s="31"/>
      <c r="C120" s="228"/>
      <c r="D120" s="228"/>
      <c r="E120" s="228"/>
      <c r="F120" s="29" t="s">
        <v>207</v>
      </c>
      <c r="G120" s="29" t="s">
        <v>208</v>
      </c>
      <c r="H120" s="29" t="s">
        <v>209</v>
      </c>
      <c r="I120" s="213" t="s">
        <v>148</v>
      </c>
      <c r="J120" s="70" t="s">
        <v>728</v>
      </c>
      <c r="K120" s="63" t="s">
        <v>147</v>
      </c>
      <c r="L120" s="13"/>
      <c r="M120" s="24" t="s">
        <v>205</v>
      </c>
      <c r="N120" s="13">
        <f>R120+V120</f>
        <v>134.4</v>
      </c>
      <c r="O120" s="13">
        <f>S120+W120</f>
        <v>134.4</v>
      </c>
      <c r="P120" s="13"/>
      <c r="Q120" s="13"/>
      <c r="R120" s="13">
        <v>127.7</v>
      </c>
      <c r="S120" s="13">
        <v>127.7</v>
      </c>
      <c r="T120" s="13"/>
      <c r="U120" s="13"/>
      <c r="V120" s="13">
        <v>6.7</v>
      </c>
      <c r="W120" s="13">
        <v>6.7</v>
      </c>
      <c r="X120" s="13">
        <f>Y120+Z120+AA120+AB120</f>
        <v>0</v>
      </c>
      <c r="Y120" s="13"/>
      <c r="Z120" s="13"/>
      <c r="AA120" s="13"/>
      <c r="AB120" s="13"/>
      <c r="AC120" s="13"/>
      <c r="AD120" s="13"/>
      <c r="AE120" s="13"/>
      <c r="AF120" s="13"/>
      <c r="AG120" s="13"/>
      <c r="AH120" s="13"/>
      <c r="AI120" s="13"/>
      <c r="AJ120" s="13"/>
      <c r="AK120" s="13"/>
      <c r="AL120" s="13"/>
      <c r="AM120" s="13"/>
      <c r="AN120" s="13"/>
      <c r="AO120" s="13"/>
      <c r="AP120" s="13"/>
      <c r="AQ120" s="13"/>
    </row>
    <row r="121" spans="1:43" ht="35.1" customHeight="1" thickBot="1">
      <c r="A121" s="14"/>
      <c r="B121" s="31"/>
      <c r="C121" s="209"/>
      <c r="D121" s="211"/>
      <c r="E121" s="211"/>
      <c r="F121" s="216" t="s">
        <v>210</v>
      </c>
      <c r="G121" s="217" t="s">
        <v>147</v>
      </c>
      <c r="H121" s="211"/>
      <c r="I121" s="214"/>
      <c r="J121" s="211"/>
      <c r="K121" s="214"/>
      <c r="L121" s="13"/>
      <c r="M121" s="24" t="s">
        <v>206</v>
      </c>
      <c r="N121" s="13">
        <f t="shared" ref="N121:O129" si="58">P121+R121+T121+V121</f>
        <v>2777.3</v>
      </c>
      <c r="O121" s="13">
        <f t="shared" si="58"/>
        <v>2777.3</v>
      </c>
      <c r="P121" s="13"/>
      <c r="Q121" s="13"/>
      <c r="R121" s="13"/>
      <c r="S121" s="13"/>
      <c r="T121" s="13"/>
      <c r="U121" s="13"/>
      <c r="V121" s="13">
        <f>1931.6+34.4+82.4+380+34.9+253+61</f>
        <v>2777.3</v>
      </c>
      <c r="W121" s="13">
        <v>2777.3</v>
      </c>
      <c r="X121" s="13">
        <f t="shared" ref="X121:X125" si="59">Y121+Z121+AA121+AB121</f>
        <v>1548.4</v>
      </c>
      <c r="Y121" s="13"/>
      <c r="Z121" s="13"/>
      <c r="AA121" s="13"/>
      <c r="AB121" s="13">
        <v>1548.4</v>
      </c>
      <c r="AC121" s="13">
        <f t="shared" ref="AC121:AC125" si="60">AD121+AE121+AF121+AG121</f>
        <v>1548.4</v>
      </c>
      <c r="AD121" s="13"/>
      <c r="AE121" s="13"/>
      <c r="AF121" s="13"/>
      <c r="AG121" s="13">
        <v>1548.4</v>
      </c>
      <c r="AH121" s="13">
        <f t="shared" ref="AH121:AH135" si="61">AI121+AJ121+AK121+AL121</f>
        <v>1548.4</v>
      </c>
      <c r="AI121" s="13"/>
      <c r="AJ121" s="13"/>
      <c r="AK121" s="13"/>
      <c r="AL121" s="13">
        <v>1548.4</v>
      </c>
      <c r="AM121" s="13">
        <f t="shared" ref="AM121:AM130" si="62">AN121+AO121+AP121+AQ121</f>
        <v>1548.4</v>
      </c>
      <c r="AN121" s="13"/>
      <c r="AO121" s="13"/>
      <c r="AP121" s="13"/>
      <c r="AQ121" s="13">
        <v>1548.4</v>
      </c>
    </row>
    <row r="122" spans="1:43" ht="35.1" customHeight="1" thickBot="1">
      <c r="A122" s="14"/>
      <c r="B122" s="22"/>
      <c r="C122" s="252"/>
      <c r="D122" s="252"/>
      <c r="E122" s="252"/>
      <c r="F122" s="29" t="s">
        <v>207</v>
      </c>
      <c r="G122" s="29" t="s">
        <v>208</v>
      </c>
      <c r="H122" s="29" t="s">
        <v>209</v>
      </c>
      <c r="I122" s="63"/>
      <c r="J122" s="228"/>
      <c r="K122" s="63"/>
      <c r="L122" s="13"/>
      <c r="M122" s="24" t="s">
        <v>211</v>
      </c>
      <c r="N122" s="13">
        <f t="shared" si="58"/>
        <v>2278.1999999999998</v>
      </c>
      <c r="O122" s="13">
        <f t="shared" si="58"/>
        <v>2045.6</v>
      </c>
      <c r="P122" s="13"/>
      <c r="Q122" s="13"/>
      <c r="R122" s="13"/>
      <c r="S122" s="13"/>
      <c r="T122" s="13"/>
      <c r="U122" s="13"/>
      <c r="V122" s="13">
        <f>2486.6-380-61+232.6</f>
        <v>2278.1999999999998</v>
      </c>
      <c r="W122" s="13">
        <v>2045.6</v>
      </c>
      <c r="X122" s="13">
        <f t="shared" si="59"/>
        <v>2592.5</v>
      </c>
      <c r="Y122" s="13"/>
      <c r="Z122" s="13"/>
      <c r="AA122" s="13"/>
      <c r="AB122" s="13">
        <v>2592.5</v>
      </c>
      <c r="AC122" s="13">
        <f t="shared" si="60"/>
        <v>2592.5</v>
      </c>
      <c r="AD122" s="13"/>
      <c r="AE122" s="13"/>
      <c r="AF122" s="13"/>
      <c r="AG122" s="13">
        <v>2592.5</v>
      </c>
      <c r="AH122" s="13">
        <f t="shared" si="61"/>
        <v>2592.5</v>
      </c>
      <c r="AI122" s="13"/>
      <c r="AJ122" s="13"/>
      <c r="AK122" s="13"/>
      <c r="AL122" s="13">
        <v>2592.5</v>
      </c>
      <c r="AM122" s="13">
        <f t="shared" si="62"/>
        <v>2592.5</v>
      </c>
      <c r="AN122" s="13"/>
      <c r="AO122" s="13"/>
      <c r="AP122" s="13"/>
      <c r="AQ122" s="13">
        <v>2592.5</v>
      </c>
    </row>
    <row r="123" spans="1:43" ht="35.1" customHeight="1" thickBot="1">
      <c r="A123" s="14"/>
      <c r="B123" s="22"/>
      <c r="C123" s="252"/>
      <c r="D123" s="252"/>
      <c r="E123" s="252"/>
      <c r="F123" s="252"/>
      <c r="G123" s="252"/>
      <c r="H123" s="252"/>
      <c r="I123" s="252"/>
      <c r="J123" s="252"/>
      <c r="K123" s="252"/>
      <c r="L123" s="13"/>
      <c r="M123" s="24" t="s">
        <v>212</v>
      </c>
      <c r="N123" s="13">
        <f t="shared" si="58"/>
        <v>767.5</v>
      </c>
      <c r="O123" s="13">
        <f t="shared" si="58"/>
        <v>767.5</v>
      </c>
      <c r="P123" s="13"/>
      <c r="Q123" s="13"/>
      <c r="R123" s="13"/>
      <c r="S123" s="13"/>
      <c r="T123" s="13"/>
      <c r="U123" s="13"/>
      <c r="V123" s="13">
        <f>767.4+682.1+1071.9-1753.9</f>
        <v>767.5</v>
      </c>
      <c r="W123" s="13">
        <v>767.5</v>
      </c>
      <c r="X123" s="13">
        <f t="shared" si="59"/>
        <v>0</v>
      </c>
      <c r="Y123" s="13"/>
      <c r="Z123" s="13"/>
      <c r="AA123" s="13"/>
      <c r="AB123" s="13"/>
      <c r="AC123" s="13">
        <f t="shared" si="60"/>
        <v>0</v>
      </c>
      <c r="AD123" s="13"/>
      <c r="AE123" s="13"/>
      <c r="AF123" s="13"/>
      <c r="AG123" s="13"/>
      <c r="AH123" s="13">
        <f t="shared" si="61"/>
        <v>0</v>
      </c>
      <c r="AI123" s="13"/>
      <c r="AJ123" s="13"/>
      <c r="AK123" s="13"/>
      <c r="AL123" s="13"/>
      <c r="AM123" s="13">
        <f t="shared" si="62"/>
        <v>0</v>
      </c>
      <c r="AN123" s="13"/>
      <c r="AO123" s="13"/>
      <c r="AP123" s="13"/>
      <c r="AQ123" s="13"/>
    </row>
    <row r="124" spans="1:43" ht="35.1" customHeight="1" thickBot="1">
      <c r="A124" s="14"/>
      <c r="B124" s="22"/>
      <c r="C124" s="252"/>
      <c r="D124" s="252"/>
      <c r="E124" s="252"/>
      <c r="F124" s="252"/>
      <c r="G124" s="252"/>
      <c r="H124" s="252"/>
      <c r="I124" s="252"/>
      <c r="J124" s="252"/>
      <c r="K124" s="252"/>
      <c r="L124" s="13"/>
      <c r="M124" s="24" t="s">
        <v>213</v>
      </c>
      <c r="N124" s="13">
        <f t="shared" si="58"/>
        <v>24151.1</v>
      </c>
      <c r="O124" s="13">
        <f t="shared" si="58"/>
        <v>24151.1</v>
      </c>
      <c r="P124" s="13"/>
      <c r="Q124" s="13"/>
      <c r="R124" s="13"/>
      <c r="S124" s="13"/>
      <c r="T124" s="13"/>
      <c r="U124" s="13"/>
      <c r="V124" s="13">
        <f>15591.8+4878.6+217.1+359.4-35+1754+1601.5-216.4+0.1</f>
        <v>24151.1</v>
      </c>
      <c r="W124" s="13">
        <v>24151.1</v>
      </c>
      <c r="X124" s="13">
        <f t="shared" si="59"/>
        <v>17260.599999999999</v>
      </c>
      <c r="Y124" s="13"/>
      <c r="Z124" s="13"/>
      <c r="AA124" s="13"/>
      <c r="AB124" s="13">
        <v>17260.599999999999</v>
      </c>
      <c r="AC124" s="13">
        <f t="shared" si="60"/>
        <v>17260.599999999999</v>
      </c>
      <c r="AD124" s="13"/>
      <c r="AE124" s="13"/>
      <c r="AF124" s="13"/>
      <c r="AG124" s="13">
        <v>17260.599999999999</v>
      </c>
      <c r="AH124" s="13">
        <f t="shared" si="61"/>
        <v>17260.599999999999</v>
      </c>
      <c r="AI124" s="13"/>
      <c r="AJ124" s="13"/>
      <c r="AK124" s="13"/>
      <c r="AL124" s="13">
        <v>17260.599999999999</v>
      </c>
      <c r="AM124" s="13">
        <f t="shared" si="62"/>
        <v>17260.599999999999</v>
      </c>
      <c r="AN124" s="13"/>
      <c r="AO124" s="13"/>
      <c r="AP124" s="13"/>
      <c r="AQ124" s="13">
        <v>17260.599999999999</v>
      </c>
    </row>
    <row r="125" spans="1:43" ht="35.1" customHeight="1" thickBot="1">
      <c r="A125" s="14"/>
      <c r="B125" s="31"/>
      <c r="C125" s="209"/>
      <c r="D125" s="228"/>
      <c r="E125" s="228"/>
      <c r="F125" s="228"/>
      <c r="G125" s="228"/>
      <c r="H125" s="228"/>
      <c r="I125" s="214"/>
      <c r="J125" s="228"/>
      <c r="K125" s="63"/>
      <c r="L125" s="13"/>
      <c r="M125" s="24" t="s">
        <v>214</v>
      </c>
      <c r="N125" s="13">
        <f t="shared" si="58"/>
        <v>729.8</v>
      </c>
      <c r="O125" s="13">
        <f t="shared" si="58"/>
        <v>728</v>
      </c>
      <c r="P125" s="13"/>
      <c r="Q125" s="13"/>
      <c r="R125" s="13"/>
      <c r="S125" s="13"/>
      <c r="T125" s="13"/>
      <c r="U125" s="13"/>
      <c r="V125" s="13">
        <v>729.8</v>
      </c>
      <c r="W125" s="13">
        <v>728</v>
      </c>
      <c r="X125" s="13">
        <f t="shared" si="59"/>
        <v>0</v>
      </c>
      <c r="Y125" s="13"/>
      <c r="Z125" s="13"/>
      <c r="AA125" s="13"/>
      <c r="AB125" s="13">
        <v>0</v>
      </c>
      <c r="AC125" s="13">
        <f t="shared" si="60"/>
        <v>0</v>
      </c>
      <c r="AD125" s="13"/>
      <c r="AE125" s="13"/>
      <c r="AF125" s="13"/>
      <c r="AG125" s="13"/>
      <c r="AH125" s="13">
        <f t="shared" si="61"/>
        <v>0</v>
      </c>
      <c r="AI125" s="13"/>
      <c r="AJ125" s="13"/>
      <c r="AK125" s="13"/>
      <c r="AL125" s="13"/>
      <c r="AM125" s="13">
        <f t="shared" si="62"/>
        <v>0</v>
      </c>
      <c r="AN125" s="13"/>
      <c r="AO125" s="13"/>
      <c r="AP125" s="13"/>
      <c r="AQ125" s="13"/>
    </row>
    <row r="126" spans="1:43" ht="35.1" customHeight="1" thickBot="1">
      <c r="A126" s="14"/>
      <c r="B126" s="31"/>
      <c r="C126" s="47" t="s">
        <v>844</v>
      </c>
      <c r="D126" s="228" t="s">
        <v>845</v>
      </c>
      <c r="E126" s="228" t="s">
        <v>846</v>
      </c>
      <c r="F126" s="47" t="s">
        <v>215</v>
      </c>
      <c r="G126" s="12" t="s">
        <v>147</v>
      </c>
      <c r="H126" s="67" t="s">
        <v>847</v>
      </c>
      <c r="I126" s="214" t="s">
        <v>728</v>
      </c>
      <c r="J126" s="228" t="s">
        <v>147</v>
      </c>
      <c r="K126" s="63" t="s">
        <v>747</v>
      </c>
      <c r="L126" s="13"/>
      <c r="M126" s="24" t="s">
        <v>216</v>
      </c>
      <c r="N126" s="13">
        <f t="shared" si="58"/>
        <v>27323</v>
      </c>
      <c r="O126" s="13">
        <f t="shared" si="58"/>
        <v>27323</v>
      </c>
      <c r="P126" s="13"/>
      <c r="Q126" s="13"/>
      <c r="R126" s="13"/>
      <c r="S126" s="13"/>
      <c r="T126" s="13"/>
      <c r="U126" s="13"/>
      <c r="V126" s="13">
        <v>27323</v>
      </c>
      <c r="W126" s="13">
        <v>27323</v>
      </c>
      <c r="X126" s="13">
        <f>AB126</f>
        <v>35157</v>
      </c>
      <c r="Y126" s="13"/>
      <c r="Z126" s="13"/>
      <c r="AA126" s="13"/>
      <c r="AB126" s="13">
        <v>35157</v>
      </c>
      <c r="AC126" s="13">
        <f>AG126</f>
        <v>35157</v>
      </c>
      <c r="AD126" s="13"/>
      <c r="AE126" s="13"/>
      <c r="AF126" s="13"/>
      <c r="AG126" s="13">
        <v>35157</v>
      </c>
      <c r="AH126" s="13">
        <f>AL126</f>
        <v>35157</v>
      </c>
      <c r="AI126" s="13"/>
      <c r="AJ126" s="13"/>
      <c r="AK126" s="13"/>
      <c r="AL126" s="13">
        <v>35157</v>
      </c>
      <c r="AM126" s="13">
        <f>AQ126</f>
        <v>35157</v>
      </c>
      <c r="AN126" s="13"/>
      <c r="AO126" s="13"/>
      <c r="AP126" s="13"/>
      <c r="AQ126" s="13">
        <v>35157</v>
      </c>
    </row>
    <row r="127" spans="1:43" ht="35.1" customHeight="1" thickBot="1">
      <c r="A127" s="14"/>
      <c r="B127" s="31"/>
      <c r="C127" s="228"/>
      <c r="D127" s="228"/>
      <c r="E127" s="228"/>
      <c r="F127" s="47"/>
      <c r="G127" s="228"/>
      <c r="H127" s="67"/>
      <c r="I127" s="63" t="s">
        <v>848</v>
      </c>
      <c r="J127" s="228" t="s">
        <v>147</v>
      </c>
      <c r="K127" s="63" t="s">
        <v>849</v>
      </c>
      <c r="L127" s="13"/>
      <c r="M127" s="24" t="s">
        <v>217</v>
      </c>
      <c r="N127" s="13">
        <f t="shared" si="58"/>
        <v>360.4</v>
      </c>
      <c r="O127" s="13">
        <f t="shared" si="58"/>
        <v>0</v>
      </c>
      <c r="P127" s="13"/>
      <c r="Q127" s="13"/>
      <c r="R127" s="13"/>
      <c r="S127" s="13"/>
      <c r="T127" s="13"/>
      <c r="U127" s="13"/>
      <c r="V127" s="13">
        <v>360.4</v>
      </c>
      <c r="W127" s="13">
        <v>0</v>
      </c>
      <c r="X127" s="13">
        <f>AB127</f>
        <v>0</v>
      </c>
      <c r="Y127" s="13"/>
      <c r="Z127" s="13"/>
      <c r="AA127" s="13"/>
      <c r="AB127" s="13">
        <v>0</v>
      </c>
      <c r="AC127" s="13">
        <f>AG127</f>
        <v>0</v>
      </c>
      <c r="AD127" s="13"/>
      <c r="AE127" s="13"/>
      <c r="AF127" s="13"/>
      <c r="AG127" s="13">
        <v>0</v>
      </c>
      <c r="AH127" s="13">
        <f>AL127</f>
        <v>0</v>
      </c>
      <c r="AI127" s="13"/>
      <c r="AJ127" s="13"/>
      <c r="AK127" s="13"/>
      <c r="AL127" s="13">
        <v>0</v>
      </c>
      <c r="AM127" s="13">
        <f>AQ127</f>
        <v>0</v>
      </c>
      <c r="AN127" s="13"/>
      <c r="AO127" s="13"/>
      <c r="AP127" s="13"/>
      <c r="AQ127" s="13">
        <v>0</v>
      </c>
    </row>
    <row r="128" spans="1:43" ht="35.1" customHeight="1" thickBot="1">
      <c r="A128" s="14"/>
      <c r="B128" s="31"/>
      <c r="C128" s="228"/>
      <c r="D128" s="228"/>
      <c r="E128" s="228"/>
      <c r="F128" s="47"/>
      <c r="G128" s="228"/>
      <c r="H128" s="67"/>
      <c r="I128" s="63" t="s">
        <v>848</v>
      </c>
      <c r="J128" s="228" t="s">
        <v>147</v>
      </c>
      <c r="K128" s="63" t="s">
        <v>849</v>
      </c>
      <c r="L128" s="13"/>
      <c r="M128" s="24" t="s">
        <v>218</v>
      </c>
      <c r="N128" s="13">
        <f t="shared" si="58"/>
        <v>360.4</v>
      </c>
      <c r="O128" s="13">
        <f t="shared" si="58"/>
        <v>0</v>
      </c>
      <c r="P128" s="13"/>
      <c r="Q128" s="13"/>
      <c r="R128" s="13"/>
      <c r="S128" s="13"/>
      <c r="T128" s="13"/>
      <c r="U128" s="13"/>
      <c r="V128" s="13">
        <v>360.4</v>
      </c>
      <c r="W128" s="13">
        <v>0</v>
      </c>
      <c r="X128" s="13">
        <f t="shared" ref="X128:X131" si="63">Y128+Z128+AA128+AB128</f>
        <v>0</v>
      </c>
      <c r="Y128" s="13"/>
      <c r="Z128" s="13"/>
      <c r="AA128" s="13"/>
      <c r="AB128" s="13">
        <v>0</v>
      </c>
      <c r="AC128" s="13">
        <f t="shared" ref="AC128:AC130" si="64">AD128+AE128+AF128+AG128</f>
        <v>0</v>
      </c>
      <c r="AD128" s="13"/>
      <c r="AE128" s="13"/>
      <c r="AF128" s="13"/>
      <c r="AG128" s="13">
        <v>0</v>
      </c>
      <c r="AH128" s="13">
        <f t="shared" si="61"/>
        <v>0</v>
      </c>
      <c r="AI128" s="13"/>
      <c r="AJ128" s="13"/>
      <c r="AK128" s="13"/>
      <c r="AL128" s="13">
        <v>0</v>
      </c>
      <c r="AM128" s="13">
        <f t="shared" si="62"/>
        <v>0</v>
      </c>
      <c r="AN128" s="13"/>
      <c r="AO128" s="13"/>
      <c r="AP128" s="13"/>
      <c r="AQ128" s="13">
        <v>0</v>
      </c>
    </row>
    <row r="129" spans="1:43" ht="35.1" customHeight="1" thickBot="1">
      <c r="A129" s="14"/>
      <c r="B129" s="31"/>
      <c r="C129" s="228"/>
      <c r="D129" s="228"/>
      <c r="E129" s="228"/>
      <c r="F129" s="47"/>
      <c r="G129" s="228"/>
      <c r="H129" s="67"/>
      <c r="I129" s="63" t="s">
        <v>848</v>
      </c>
      <c r="J129" s="228" t="s">
        <v>147</v>
      </c>
      <c r="K129" s="63" t="s">
        <v>849</v>
      </c>
      <c r="L129" s="13"/>
      <c r="M129" s="24" t="s">
        <v>219</v>
      </c>
      <c r="N129" s="13">
        <f t="shared" si="58"/>
        <v>360.4</v>
      </c>
      <c r="O129" s="13">
        <f t="shared" si="58"/>
        <v>0</v>
      </c>
      <c r="P129" s="13"/>
      <c r="Q129" s="13"/>
      <c r="R129" s="13"/>
      <c r="S129" s="13"/>
      <c r="T129" s="13"/>
      <c r="U129" s="13"/>
      <c r="V129" s="13">
        <v>360.4</v>
      </c>
      <c r="W129" s="13">
        <v>0</v>
      </c>
      <c r="X129" s="13">
        <f t="shared" si="63"/>
        <v>0</v>
      </c>
      <c r="Y129" s="13"/>
      <c r="Z129" s="13"/>
      <c r="AA129" s="13"/>
      <c r="AB129" s="13">
        <v>0</v>
      </c>
      <c r="AC129" s="13">
        <f t="shared" si="64"/>
        <v>0</v>
      </c>
      <c r="AD129" s="13"/>
      <c r="AE129" s="13"/>
      <c r="AF129" s="13"/>
      <c r="AG129" s="13">
        <v>0</v>
      </c>
      <c r="AH129" s="13">
        <f t="shared" si="61"/>
        <v>0</v>
      </c>
      <c r="AI129" s="13"/>
      <c r="AJ129" s="13"/>
      <c r="AK129" s="13"/>
      <c r="AL129" s="13">
        <v>0</v>
      </c>
      <c r="AM129" s="13">
        <f t="shared" si="62"/>
        <v>0</v>
      </c>
      <c r="AN129" s="13"/>
      <c r="AO129" s="13"/>
      <c r="AP129" s="13"/>
      <c r="AQ129" s="13">
        <v>0</v>
      </c>
    </row>
    <row r="130" spans="1:43" ht="35.1" customHeight="1" thickBot="1">
      <c r="A130" s="14"/>
      <c r="B130" s="31"/>
      <c r="C130" s="228"/>
      <c r="D130" s="228"/>
      <c r="E130" s="228"/>
      <c r="F130" s="47"/>
      <c r="G130" s="228"/>
      <c r="H130" s="67"/>
      <c r="I130" s="63" t="s">
        <v>848</v>
      </c>
      <c r="J130" s="228" t="s">
        <v>147</v>
      </c>
      <c r="K130" s="63" t="s">
        <v>849</v>
      </c>
      <c r="L130" s="13"/>
      <c r="M130" s="24" t="s">
        <v>220</v>
      </c>
      <c r="N130" s="13">
        <f t="shared" ref="N130:O135" si="65">P130+R130+T130+V130</f>
        <v>360.4</v>
      </c>
      <c r="O130" s="13">
        <f t="shared" si="65"/>
        <v>0</v>
      </c>
      <c r="P130" s="13"/>
      <c r="Q130" s="13"/>
      <c r="R130" s="13"/>
      <c r="S130" s="13"/>
      <c r="T130" s="13"/>
      <c r="U130" s="13"/>
      <c r="V130" s="13">
        <v>360.4</v>
      </c>
      <c r="W130" s="13">
        <v>0</v>
      </c>
      <c r="X130" s="13">
        <f t="shared" si="63"/>
        <v>0</v>
      </c>
      <c r="Y130" s="13"/>
      <c r="Z130" s="13"/>
      <c r="AA130" s="13"/>
      <c r="AB130" s="13">
        <v>0</v>
      </c>
      <c r="AC130" s="13">
        <f t="shared" si="64"/>
        <v>0</v>
      </c>
      <c r="AD130" s="13"/>
      <c r="AE130" s="13"/>
      <c r="AF130" s="13"/>
      <c r="AG130" s="13">
        <v>0</v>
      </c>
      <c r="AH130" s="13">
        <f t="shared" si="61"/>
        <v>0</v>
      </c>
      <c r="AI130" s="13"/>
      <c r="AJ130" s="13"/>
      <c r="AK130" s="13"/>
      <c r="AL130" s="13">
        <v>0</v>
      </c>
      <c r="AM130" s="13">
        <f t="shared" si="62"/>
        <v>0</v>
      </c>
      <c r="AN130" s="13"/>
      <c r="AO130" s="13"/>
      <c r="AP130" s="13"/>
      <c r="AQ130" s="13">
        <v>0</v>
      </c>
    </row>
    <row r="131" spans="1:43" ht="35.1" customHeight="1" thickBot="1">
      <c r="A131" s="14"/>
      <c r="B131" s="31"/>
      <c r="C131" s="228"/>
      <c r="D131" s="228"/>
      <c r="E131" s="228"/>
      <c r="F131" s="47"/>
      <c r="G131" s="228"/>
      <c r="H131" s="67"/>
      <c r="I131" s="63" t="s">
        <v>918</v>
      </c>
      <c r="J131" s="228" t="s">
        <v>147</v>
      </c>
      <c r="K131" s="63" t="s">
        <v>919</v>
      </c>
      <c r="L131" s="13"/>
      <c r="M131" s="24" t="s">
        <v>204</v>
      </c>
      <c r="N131" s="13">
        <f t="shared" si="65"/>
        <v>642.19999999999993</v>
      </c>
      <c r="O131" s="13">
        <f t="shared" si="65"/>
        <v>642.19999999999993</v>
      </c>
      <c r="P131" s="13"/>
      <c r="Q131" s="13"/>
      <c r="R131" s="13">
        <v>635.79999999999995</v>
      </c>
      <c r="S131" s="13">
        <v>635.79999999999995</v>
      </c>
      <c r="T131" s="13"/>
      <c r="U131" s="13"/>
      <c r="V131" s="13">
        <v>6.4</v>
      </c>
      <c r="W131" s="13">
        <v>6.4</v>
      </c>
      <c r="X131" s="13">
        <f t="shared" si="63"/>
        <v>0</v>
      </c>
      <c r="Y131" s="13"/>
      <c r="Z131" s="13"/>
      <c r="AA131" s="13"/>
      <c r="AB131" s="13">
        <v>0</v>
      </c>
      <c r="AC131" s="13">
        <v>0</v>
      </c>
      <c r="AD131" s="13"/>
      <c r="AE131" s="13"/>
      <c r="AF131" s="13"/>
      <c r="AG131" s="13">
        <v>0</v>
      </c>
      <c r="AH131" s="13">
        <v>0</v>
      </c>
      <c r="AI131" s="13"/>
      <c r="AJ131" s="13"/>
      <c r="AK131" s="13"/>
      <c r="AL131" s="13">
        <v>0</v>
      </c>
      <c r="AM131" s="13">
        <v>0</v>
      </c>
      <c r="AN131" s="13"/>
      <c r="AO131" s="13"/>
      <c r="AP131" s="13"/>
      <c r="AQ131" s="13">
        <v>0</v>
      </c>
    </row>
    <row r="132" spans="1:43" ht="35.1" customHeight="1" thickBot="1">
      <c r="A132" s="14"/>
      <c r="B132" s="31"/>
      <c r="C132" s="26" t="s">
        <v>293</v>
      </c>
      <c r="D132" s="26" t="s">
        <v>318</v>
      </c>
      <c r="E132" s="26" t="s">
        <v>319</v>
      </c>
      <c r="F132" s="45" t="s">
        <v>221</v>
      </c>
      <c r="G132" s="26" t="s">
        <v>222</v>
      </c>
      <c r="H132" s="26" t="s">
        <v>223</v>
      </c>
      <c r="I132" s="26"/>
      <c r="J132" s="26"/>
      <c r="K132" s="26"/>
      <c r="L132" s="13"/>
      <c r="M132" s="24" t="s">
        <v>224</v>
      </c>
      <c r="N132" s="13">
        <f>P132+R132+T132+V132</f>
        <v>1719.7</v>
      </c>
      <c r="O132" s="13">
        <f t="shared" si="65"/>
        <v>1677.3</v>
      </c>
      <c r="P132" s="13"/>
      <c r="Q132" s="13"/>
      <c r="R132" s="13"/>
      <c r="S132" s="13"/>
      <c r="T132" s="13"/>
      <c r="U132" s="13"/>
      <c r="V132" s="13">
        <f>1701.3+18.4</f>
        <v>1719.7</v>
      </c>
      <c r="W132" s="13">
        <v>1677.3</v>
      </c>
      <c r="X132" s="13">
        <f>Y132+Z132+AA132+AB132</f>
        <v>1811.1</v>
      </c>
      <c r="Y132" s="13"/>
      <c r="Z132" s="13"/>
      <c r="AA132" s="13"/>
      <c r="AB132" s="13">
        <v>1811.1</v>
      </c>
      <c r="AC132" s="13">
        <f>AD132+AE132+AF132+AG132</f>
        <v>1811.1</v>
      </c>
      <c r="AD132" s="13"/>
      <c r="AE132" s="13"/>
      <c r="AF132" s="13"/>
      <c r="AG132" s="13">
        <v>1811.1</v>
      </c>
      <c r="AH132" s="13">
        <f t="shared" si="61"/>
        <v>1811.1</v>
      </c>
      <c r="AI132" s="13"/>
      <c r="AJ132" s="13"/>
      <c r="AK132" s="13"/>
      <c r="AL132" s="13">
        <v>1811.1</v>
      </c>
      <c r="AM132" s="13">
        <f>AN132+AO132+AP132+AQ132</f>
        <v>1811.1</v>
      </c>
      <c r="AN132" s="13"/>
      <c r="AO132" s="13"/>
      <c r="AP132" s="13"/>
      <c r="AQ132" s="13">
        <v>1811.1</v>
      </c>
    </row>
    <row r="133" spans="1:43" ht="35.1" customHeight="1" thickBot="1">
      <c r="A133" s="14"/>
      <c r="B133" s="31"/>
      <c r="C133" s="26"/>
      <c r="D133" s="26"/>
      <c r="E133" s="26"/>
      <c r="F133" s="71"/>
      <c r="G133" s="26"/>
      <c r="H133" s="26"/>
      <c r="I133" s="63" t="s">
        <v>225</v>
      </c>
      <c r="J133" s="26" t="s">
        <v>147</v>
      </c>
      <c r="K133" s="26" t="s">
        <v>743</v>
      </c>
      <c r="L133" s="13"/>
      <c r="M133" s="24" t="s">
        <v>226</v>
      </c>
      <c r="N133" s="13">
        <f>P133+R133+T133+V133</f>
        <v>6802.4</v>
      </c>
      <c r="O133" s="13">
        <f t="shared" si="65"/>
        <v>6802.4</v>
      </c>
      <c r="P133" s="13"/>
      <c r="Q133" s="13"/>
      <c r="R133" s="13"/>
      <c r="S133" s="13"/>
      <c r="T133" s="13"/>
      <c r="U133" s="13"/>
      <c r="V133" s="13">
        <f>347.8+5142.9+789.2+320.2+202.3</f>
        <v>6802.4</v>
      </c>
      <c r="W133" s="13">
        <v>6802.4</v>
      </c>
      <c r="X133" s="13">
        <f>Y133+Z133+AA133+AB133</f>
        <v>0</v>
      </c>
      <c r="Y133" s="13"/>
      <c r="Z133" s="13"/>
      <c r="AA133" s="13"/>
      <c r="AB133" s="13">
        <v>0</v>
      </c>
      <c r="AC133" s="13">
        <f>AD133+AE133+AF133+AG133</f>
        <v>0</v>
      </c>
      <c r="AD133" s="13"/>
      <c r="AE133" s="13"/>
      <c r="AF133" s="13"/>
      <c r="AG133" s="13"/>
      <c r="AH133" s="13">
        <f t="shared" si="61"/>
        <v>0</v>
      </c>
      <c r="AI133" s="13"/>
      <c r="AJ133" s="13"/>
      <c r="AK133" s="13"/>
      <c r="AL133" s="13"/>
      <c r="AM133" s="13">
        <f>AN133+AO133+AP133+AQ133</f>
        <v>0</v>
      </c>
      <c r="AN133" s="13"/>
      <c r="AO133" s="13"/>
      <c r="AP133" s="13"/>
      <c r="AQ133" s="13"/>
    </row>
    <row r="134" spans="1:43" ht="35.1" customHeight="1" thickBot="1">
      <c r="A134" s="14"/>
      <c r="B134" s="31"/>
      <c r="C134" s="26"/>
      <c r="D134" s="26"/>
      <c r="E134" s="26"/>
      <c r="F134" s="207" t="s">
        <v>146</v>
      </c>
      <c r="G134" s="213" t="s">
        <v>147</v>
      </c>
      <c r="H134" s="213" t="s">
        <v>148</v>
      </c>
      <c r="I134" s="26"/>
      <c r="J134" s="26"/>
      <c r="K134" s="26"/>
      <c r="L134" s="13"/>
      <c r="M134" s="24" t="s">
        <v>227</v>
      </c>
      <c r="N134" s="13">
        <f>P134+R134+T134+V134</f>
        <v>883.3</v>
      </c>
      <c r="O134" s="13">
        <f t="shared" si="65"/>
        <v>883.3</v>
      </c>
      <c r="P134" s="13"/>
      <c r="Q134" s="13"/>
      <c r="R134" s="13"/>
      <c r="S134" s="13"/>
      <c r="T134" s="13"/>
      <c r="U134" s="13"/>
      <c r="V134" s="13">
        <v>883.3</v>
      </c>
      <c r="W134" s="13">
        <v>883.3</v>
      </c>
      <c r="X134" s="13">
        <f>Y134+Z134+AA134+AB134</f>
        <v>1135.9000000000001</v>
      </c>
      <c r="Y134" s="13"/>
      <c r="Z134" s="13"/>
      <c r="AA134" s="13"/>
      <c r="AB134" s="13">
        <v>1135.9000000000001</v>
      </c>
      <c r="AC134" s="13">
        <f>AD134+AE134+AF134+AG134</f>
        <v>1135.9000000000001</v>
      </c>
      <c r="AD134" s="13"/>
      <c r="AE134" s="13"/>
      <c r="AF134" s="13"/>
      <c r="AG134" s="13">
        <v>1135.9000000000001</v>
      </c>
      <c r="AH134" s="13">
        <f t="shared" si="61"/>
        <v>1135.9000000000001</v>
      </c>
      <c r="AI134" s="13"/>
      <c r="AJ134" s="13"/>
      <c r="AK134" s="13"/>
      <c r="AL134" s="13">
        <v>1135.9000000000001</v>
      </c>
      <c r="AM134" s="13">
        <f>AN134+AO134+AP134+AQ134</f>
        <v>1135.9000000000001</v>
      </c>
      <c r="AN134" s="13"/>
      <c r="AO134" s="13"/>
      <c r="AP134" s="13"/>
      <c r="AQ134" s="13">
        <v>1135.9000000000001</v>
      </c>
    </row>
    <row r="135" spans="1:43" ht="35.1" customHeight="1" thickBot="1">
      <c r="A135" s="14"/>
      <c r="B135" s="31"/>
      <c r="C135" s="26"/>
      <c r="D135" s="26"/>
      <c r="E135" s="26"/>
      <c r="F135" s="71"/>
      <c r="G135" s="26"/>
      <c r="H135" s="26"/>
      <c r="I135" s="63"/>
      <c r="J135" s="228"/>
      <c r="K135" s="26"/>
      <c r="L135" s="13"/>
      <c r="M135" s="24" t="s">
        <v>228</v>
      </c>
      <c r="N135" s="13">
        <f>P135+R135+T135+V135</f>
        <v>49681.700000000012</v>
      </c>
      <c r="O135" s="13">
        <f t="shared" si="65"/>
        <v>49598</v>
      </c>
      <c r="P135" s="13"/>
      <c r="Q135" s="13"/>
      <c r="R135" s="13"/>
      <c r="S135" s="13"/>
      <c r="T135" s="13"/>
      <c r="U135" s="13"/>
      <c r="V135" s="13">
        <f>41037+7504.3-320.2+1404.9+475.9-420.2</f>
        <v>49681.700000000012</v>
      </c>
      <c r="W135" s="13">
        <v>49598</v>
      </c>
      <c r="X135" s="13">
        <f>Y135+Z135+AA135+AB135</f>
        <v>51218.3</v>
      </c>
      <c r="Y135" s="13"/>
      <c r="Z135" s="13"/>
      <c r="AA135" s="13"/>
      <c r="AB135" s="13">
        <v>51218.3</v>
      </c>
      <c r="AC135" s="13">
        <f>AD135+AE135+AF135+AG135</f>
        <v>51218.3</v>
      </c>
      <c r="AD135" s="13"/>
      <c r="AE135" s="13"/>
      <c r="AF135" s="13"/>
      <c r="AG135" s="13">
        <v>51218.3</v>
      </c>
      <c r="AH135" s="13">
        <f t="shared" si="61"/>
        <v>51218.3</v>
      </c>
      <c r="AI135" s="13"/>
      <c r="AJ135" s="13"/>
      <c r="AK135" s="13"/>
      <c r="AL135" s="13">
        <v>51218.3</v>
      </c>
      <c r="AM135" s="13">
        <f>AN135+AO135+AP135+AQ135</f>
        <v>51218.3</v>
      </c>
      <c r="AN135" s="13"/>
      <c r="AO135" s="13"/>
      <c r="AP135" s="13"/>
      <c r="AQ135" s="13">
        <v>51218.3</v>
      </c>
    </row>
    <row r="136" spans="1:43" ht="35.1" customHeight="1" thickBot="1">
      <c r="A136" s="17" t="s">
        <v>229</v>
      </c>
      <c r="B136" s="18">
        <v>2526</v>
      </c>
      <c r="C136" s="19"/>
      <c r="D136" s="20"/>
      <c r="E136" s="20"/>
      <c r="F136" s="20"/>
      <c r="G136" s="20"/>
      <c r="H136" s="20"/>
      <c r="I136" s="20"/>
      <c r="J136" s="20"/>
      <c r="K136" s="20"/>
      <c r="L136" s="20">
        <v>6</v>
      </c>
      <c r="M136" s="21"/>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row>
    <row r="137" spans="1:43" ht="35.1" customHeight="1" thickBot="1">
      <c r="A137" s="17" t="s">
        <v>230</v>
      </c>
      <c r="B137" s="18">
        <v>2527</v>
      </c>
      <c r="C137" s="19"/>
      <c r="D137" s="20"/>
      <c r="E137" s="20"/>
      <c r="F137" s="20"/>
      <c r="G137" s="20"/>
      <c r="H137" s="20"/>
      <c r="I137" s="20"/>
      <c r="J137" s="20"/>
      <c r="K137" s="20"/>
      <c r="L137" s="20">
        <v>6</v>
      </c>
      <c r="M137" s="20"/>
      <c r="N137" s="20">
        <f>N138+N139+N140+N141+N142+N143+N144</f>
        <v>75181.8</v>
      </c>
      <c r="O137" s="20">
        <f t="shared" ref="O137:AQ137" si="66">O138+O139+O140+O141+O142+O143+O144</f>
        <v>74593.5</v>
      </c>
      <c r="P137" s="20">
        <f t="shared" si="66"/>
        <v>0</v>
      </c>
      <c r="Q137" s="20">
        <f t="shared" si="66"/>
        <v>0</v>
      </c>
      <c r="R137" s="20">
        <f t="shared" si="66"/>
        <v>0</v>
      </c>
      <c r="S137" s="20">
        <f t="shared" si="66"/>
        <v>0</v>
      </c>
      <c r="T137" s="20">
        <f t="shared" si="66"/>
        <v>0</v>
      </c>
      <c r="U137" s="20">
        <f t="shared" si="66"/>
        <v>0</v>
      </c>
      <c r="V137" s="20">
        <f t="shared" si="66"/>
        <v>75181.8</v>
      </c>
      <c r="W137" s="20">
        <f t="shared" si="66"/>
        <v>74593.5</v>
      </c>
      <c r="X137" s="20">
        <f t="shared" si="66"/>
        <v>75917.7</v>
      </c>
      <c r="Y137" s="20">
        <f t="shared" si="66"/>
        <v>0</v>
      </c>
      <c r="Z137" s="20">
        <f t="shared" si="66"/>
        <v>0</v>
      </c>
      <c r="AA137" s="20">
        <f t="shared" si="66"/>
        <v>0</v>
      </c>
      <c r="AB137" s="20">
        <f t="shared" si="66"/>
        <v>75917.7</v>
      </c>
      <c r="AC137" s="20">
        <f t="shared" si="66"/>
        <v>75917.7</v>
      </c>
      <c r="AD137" s="20">
        <f t="shared" si="66"/>
        <v>0</v>
      </c>
      <c r="AE137" s="20">
        <f t="shared" si="66"/>
        <v>0</v>
      </c>
      <c r="AF137" s="20">
        <f t="shared" si="66"/>
        <v>0</v>
      </c>
      <c r="AG137" s="20">
        <f t="shared" si="66"/>
        <v>75917.7</v>
      </c>
      <c r="AH137" s="20">
        <f t="shared" si="66"/>
        <v>75917.799999999988</v>
      </c>
      <c r="AI137" s="20">
        <f t="shared" si="66"/>
        <v>0</v>
      </c>
      <c r="AJ137" s="20">
        <f t="shared" si="66"/>
        <v>0</v>
      </c>
      <c r="AK137" s="20">
        <f t="shared" si="66"/>
        <v>0</v>
      </c>
      <c r="AL137" s="20">
        <f t="shared" si="66"/>
        <v>75917.799999999988</v>
      </c>
      <c r="AM137" s="20">
        <f t="shared" si="66"/>
        <v>75917.799999999988</v>
      </c>
      <c r="AN137" s="20">
        <f t="shared" si="66"/>
        <v>0</v>
      </c>
      <c r="AO137" s="20">
        <f t="shared" si="66"/>
        <v>0</v>
      </c>
      <c r="AP137" s="20">
        <f t="shared" si="66"/>
        <v>0</v>
      </c>
      <c r="AQ137" s="20">
        <f t="shared" si="66"/>
        <v>75917.799999999988</v>
      </c>
    </row>
    <row r="138" spans="1:43" ht="35.1" customHeight="1" thickBot="1">
      <c r="A138" s="14"/>
      <c r="B138" s="31"/>
      <c r="C138" s="243" t="s">
        <v>103</v>
      </c>
      <c r="D138" s="243" t="s">
        <v>142</v>
      </c>
      <c r="E138" s="243" t="s">
        <v>143</v>
      </c>
      <c r="F138" s="23" t="s">
        <v>144</v>
      </c>
      <c r="G138" s="23" t="s">
        <v>35</v>
      </c>
      <c r="H138" s="23" t="s">
        <v>145</v>
      </c>
      <c r="I138" s="45" t="s">
        <v>37</v>
      </c>
      <c r="J138" s="45" t="s">
        <v>822</v>
      </c>
      <c r="K138" s="179" t="s">
        <v>730</v>
      </c>
      <c r="L138" s="13"/>
      <c r="M138" s="24" t="s">
        <v>231</v>
      </c>
      <c r="N138" s="13">
        <f t="shared" ref="N138:O144" si="67">P138+R138+T138+V138</f>
        <v>29735.300000000003</v>
      </c>
      <c r="O138" s="13">
        <f>Q138+S138+U138+W138</f>
        <v>29690</v>
      </c>
      <c r="P138" s="13"/>
      <c r="Q138" s="13"/>
      <c r="R138" s="13"/>
      <c r="S138" s="13"/>
      <c r="T138" s="13"/>
      <c r="U138" s="13"/>
      <c r="V138" s="13">
        <f>25938.4+3287.6+57.4+130+90+452-220.1</f>
        <v>29735.300000000003</v>
      </c>
      <c r="W138" s="13">
        <v>29690</v>
      </c>
      <c r="X138" s="13">
        <f t="shared" ref="X138:X144" si="68">Y138+Z138+AA138+AB138</f>
        <v>30464.6</v>
      </c>
      <c r="Y138" s="13"/>
      <c r="Z138" s="13"/>
      <c r="AA138" s="13"/>
      <c r="AB138" s="13">
        <v>30464.6</v>
      </c>
      <c r="AC138" s="13">
        <f t="shared" ref="AC138:AC144" si="69">AD138+AE138+AF138+AG138</f>
        <v>30464.6</v>
      </c>
      <c r="AD138" s="13"/>
      <c r="AE138" s="13"/>
      <c r="AF138" s="13"/>
      <c r="AG138" s="13">
        <v>30464.6</v>
      </c>
      <c r="AH138" s="13">
        <f t="shared" ref="AH138:AH142" si="70">AI138+AJ138+AK138+AL138</f>
        <v>30464.6</v>
      </c>
      <c r="AI138" s="13"/>
      <c r="AJ138" s="13"/>
      <c r="AK138" s="13"/>
      <c r="AL138" s="13">
        <v>30464.6</v>
      </c>
      <c r="AM138" s="13">
        <f t="shared" ref="AM138:AM144" si="71">AN138+AO138+AP138+AQ138</f>
        <v>30464.6</v>
      </c>
      <c r="AN138" s="13"/>
      <c r="AO138" s="13"/>
      <c r="AP138" s="13"/>
      <c r="AQ138" s="13">
        <v>30464.6</v>
      </c>
    </row>
    <row r="139" spans="1:43" ht="35.1" customHeight="1" thickBot="1">
      <c r="A139" s="14"/>
      <c r="B139" s="31"/>
      <c r="C139" s="209"/>
      <c r="D139" s="228"/>
      <c r="E139" s="228"/>
      <c r="F139" s="228"/>
      <c r="G139" s="228"/>
      <c r="H139" s="228"/>
      <c r="I139" s="214" t="s">
        <v>728</v>
      </c>
      <c r="J139" s="228" t="s">
        <v>147</v>
      </c>
      <c r="K139" s="63" t="s">
        <v>747</v>
      </c>
      <c r="L139" s="13"/>
      <c r="M139" s="24" t="s">
        <v>232</v>
      </c>
      <c r="N139" s="13">
        <f t="shared" si="67"/>
        <v>5401.6</v>
      </c>
      <c r="O139" s="13">
        <f t="shared" si="67"/>
        <v>5194.6000000000004</v>
      </c>
      <c r="P139" s="13"/>
      <c r="Q139" s="13"/>
      <c r="R139" s="13"/>
      <c r="S139" s="13"/>
      <c r="T139" s="13"/>
      <c r="U139" s="13"/>
      <c r="V139" s="13">
        <f>4712.4+8.8+60+470.6-68-1.2+220-1</f>
        <v>5401.6</v>
      </c>
      <c r="W139" s="13">
        <v>5194.6000000000004</v>
      </c>
      <c r="X139" s="13">
        <f t="shared" si="68"/>
        <v>5219.2</v>
      </c>
      <c r="Y139" s="13"/>
      <c r="Z139" s="13"/>
      <c r="AA139" s="13"/>
      <c r="AB139" s="13">
        <v>5219.2</v>
      </c>
      <c r="AC139" s="13">
        <f t="shared" si="69"/>
        <v>5219.2</v>
      </c>
      <c r="AD139" s="13"/>
      <c r="AE139" s="13"/>
      <c r="AF139" s="13"/>
      <c r="AG139" s="13">
        <v>5219.2</v>
      </c>
      <c r="AH139" s="13">
        <f t="shared" si="70"/>
        <v>5219.2</v>
      </c>
      <c r="AI139" s="13"/>
      <c r="AJ139" s="13"/>
      <c r="AK139" s="13"/>
      <c r="AL139" s="13">
        <v>5219.2</v>
      </c>
      <c r="AM139" s="13">
        <f t="shared" si="71"/>
        <v>5219.2</v>
      </c>
      <c r="AN139" s="13"/>
      <c r="AO139" s="13"/>
      <c r="AP139" s="13"/>
      <c r="AQ139" s="13">
        <v>5219.2</v>
      </c>
    </row>
    <row r="140" spans="1:43" ht="35.1" customHeight="1" thickBot="1">
      <c r="A140" s="14"/>
      <c r="B140" s="31"/>
      <c r="C140" s="209"/>
      <c r="D140" s="228"/>
      <c r="E140" s="228"/>
      <c r="F140" s="228"/>
      <c r="G140" s="228"/>
      <c r="H140" s="228"/>
      <c r="I140" s="214"/>
      <c r="J140" s="228"/>
      <c r="K140" s="63"/>
      <c r="L140" s="13"/>
      <c r="M140" s="24" t="s">
        <v>233</v>
      </c>
      <c r="N140" s="13">
        <f t="shared" si="67"/>
        <v>1068.2</v>
      </c>
      <c r="O140" s="13">
        <f t="shared" si="67"/>
        <v>772.9</v>
      </c>
      <c r="P140" s="13"/>
      <c r="Q140" s="13"/>
      <c r="R140" s="13"/>
      <c r="S140" s="13"/>
      <c r="T140" s="13"/>
      <c r="U140" s="13"/>
      <c r="V140" s="13">
        <v>1068.2</v>
      </c>
      <c r="W140" s="13">
        <v>772.9</v>
      </c>
      <c r="X140" s="13">
        <f t="shared" si="68"/>
        <v>1127.9000000000001</v>
      </c>
      <c r="Y140" s="13"/>
      <c r="Z140" s="13"/>
      <c r="AA140" s="13"/>
      <c r="AB140" s="13">
        <v>1127.9000000000001</v>
      </c>
      <c r="AC140" s="13">
        <f t="shared" si="69"/>
        <v>1127.9000000000001</v>
      </c>
      <c r="AD140" s="13"/>
      <c r="AE140" s="13"/>
      <c r="AF140" s="13"/>
      <c r="AG140" s="13">
        <v>1127.9000000000001</v>
      </c>
      <c r="AH140" s="13">
        <f t="shared" si="70"/>
        <v>1128</v>
      </c>
      <c r="AI140" s="13"/>
      <c r="AJ140" s="13"/>
      <c r="AK140" s="13"/>
      <c r="AL140" s="13">
        <v>1128</v>
      </c>
      <c r="AM140" s="13">
        <f t="shared" si="71"/>
        <v>1128</v>
      </c>
      <c r="AN140" s="13"/>
      <c r="AO140" s="13"/>
      <c r="AP140" s="13"/>
      <c r="AQ140" s="13">
        <v>1128</v>
      </c>
    </row>
    <row r="141" spans="1:43" ht="35.1" customHeight="1" thickBot="1">
      <c r="A141" s="14"/>
      <c r="B141" s="31"/>
      <c r="C141" s="209"/>
      <c r="D141" s="228"/>
      <c r="E141" s="228"/>
      <c r="F141" s="228"/>
      <c r="G141" s="228"/>
      <c r="H141" s="228"/>
      <c r="I141" s="214"/>
      <c r="J141" s="228"/>
      <c r="K141" s="63"/>
      <c r="L141" s="13"/>
      <c r="M141" s="24" t="s">
        <v>234</v>
      </c>
      <c r="N141" s="13">
        <f t="shared" si="67"/>
        <v>437.4</v>
      </c>
      <c r="O141" s="13">
        <f t="shared" si="67"/>
        <v>413.4</v>
      </c>
      <c r="P141" s="13"/>
      <c r="Q141" s="13"/>
      <c r="R141" s="13"/>
      <c r="S141" s="13"/>
      <c r="T141" s="13"/>
      <c r="U141" s="13"/>
      <c r="V141" s="13">
        <f>369.4+68</f>
        <v>437.4</v>
      </c>
      <c r="W141" s="13">
        <v>413.4</v>
      </c>
      <c r="X141" s="13">
        <f t="shared" si="68"/>
        <v>437.5</v>
      </c>
      <c r="Y141" s="13"/>
      <c r="Z141" s="13"/>
      <c r="AA141" s="13"/>
      <c r="AB141" s="13">
        <v>437.5</v>
      </c>
      <c r="AC141" s="13">
        <f t="shared" si="69"/>
        <v>437.5</v>
      </c>
      <c r="AD141" s="13"/>
      <c r="AE141" s="13"/>
      <c r="AF141" s="13"/>
      <c r="AG141" s="13">
        <v>437.5</v>
      </c>
      <c r="AH141" s="13">
        <f t="shared" si="70"/>
        <v>437.5</v>
      </c>
      <c r="AI141" s="13"/>
      <c r="AJ141" s="13"/>
      <c r="AK141" s="13"/>
      <c r="AL141" s="13">
        <v>437.5</v>
      </c>
      <c r="AM141" s="13">
        <f t="shared" si="71"/>
        <v>437.5</v>
      </c>
      <c r="AN141" s="13"/>
      <c r="AO141" s="13"/>
      <c r="AP141" s="13"/>
      <c r="AQ141" s="13">
        <v>437.5</v>
      </c>
    </row>
    <row r="142" spans="1:43" ht="35.1" customHeight="1" thickBot="1">
      <c r="A142" s="14"/>
      <c r="B142" s="31"/>
      <c r="C142" s="209"/>
      <c r="D142" s="228"/>
      <c r="E142" s="228"/>
      <c r="F142" s="228"/>
      <c r="G142" s="228"/>
      <c r="H142" s="26"/>
      <c r="I142" s="214"/>
      <c r="J142" s="228"/>
      <c r="K142" s="63"/>
      <c r="L142" s="13"/>
      <c r="M142" s="24" t="s">
        <v>235</v>
      </c>
      <c r="N142" s="13">
        <f>P142+R142+T142+V142</f>
        <v>7.2</v>
      </c>
      <c r="O142" s="13">
        <f t="shared" si="67"/>
        <v>6.2</v>
      </c>
      <c r="P142" s="13"/>
      <c r="Q142" s="13"/>
      <c r="R142" s="13"/>
      <c r="S142" s="13"/>
      <c r="T142" s="13"/>
      <c r="U142" s="13"/>
      <c r="V142" s="13">
        <f>5+1.2+1</f>
        <v>7.2</v>
      </c>
      <c r="W142" s="13">
        <v>6.2</v>
      </c>
      <c r="X142" s="13">
        <f t="shared" si="68"/>
        <v>5</v>
      </c>
      <c r="Y142" s="13"/>
      <c r="Z142" s="13"/>
      <c r="AA142" s="13"/>
      <c r="AB142" s="13">
        <v>5</v>
      </c>
      <c r="AC142" s="13">
        <f t="shared" si="69"/>
        <v>5</v>
      </c>
      <c r="AD142" s="13"/>
      <c r="AE142" s="13"/>
      <c r="AF142" s="13"/>
      <c r="AG142" s="13">
        <v>5</v>
      </c>
      <c r="AH142" s="13">
        <f t="shared" si="70"/>
        <v>5</v>
      </c>
      <c r="AI142" s="13"/>
      <c r="AJ142" s="13"/>
      <c r="AK142" s="13"/>
      <c r="AL142" s="13">
        <v>5</v>
      </c>
      <c r="AM142" s="13">
        <f t="shared" si="71"/>
        <v>5</v>
      </c>
      <c r="AN142" s="13"/>
      <c r="AO142" s="13"/>
      <c r="AP142" s="13"/>
      <c r="AQ142" s="13">
        <v>5</v>
      </c>
    </row>
    <row r="143" spans="1:43" ht="35.1" customHeight="1" thickBot="1">
      <c r="A143" s="14"/>
      <c r="B143" s="22"/>
      <c r="C143" s="320"/>
      <c r="D143" s="320"/>
      <c r="E143" s="320"/>
      <c r="F143" s="29" t="s">
        <v>207</v>
      </c>
      <c r="G143" s="29" t="s">
        <v>208</v>
      </c>
      <c r="H143" s="29" t="s">
        <v>209</v>
      </c>
      <c r="I143" s="228" t="s">
        <v>236</v>
      </c>
      <c r="J143" s="228" t="s">
        <v>147</v>
      </c>
      <c r="K143" s="228" t="s">
        <v>237</v>
      </c>
      <c r="L143" s="13"/>
      <c r="M143" s="24" t="s">
        <v>231</v>
      </c>
      <c r="N143" s="13">
        <f>P143+R143+T143+V143</f>
        <v>35534.400000000001</v>
      </c>
      <c r="O143" s="13">
        <f t="shared" si="67"/>
        <v>35524</v>
      </c>
      <c r="P143" s="13"/>
      <c r="Q143" s="13"/>
      <c r="R143" s="13"/>
      <c r="S143" s="13"/>
      <c r="T143" s="13"/>
      <c r="U143" s="13"/>
      <c r="V143" s="13">
        <f>32058.8+2339.8+940+150.4+45.4</f>
        <v>35534.400000000001</v>
      </c>
      <c r="W143" s="13">
        <v>35524</v>
      </c>
      <c r="X143" s="13">
        <f t="shared" si="68"/>
        <v>35684.5</v>
      </c>
      <c r="Y143" s="13"/>
      <c r="Z143" s="13"/>
      <c r="AA143" s="13"/>
      <c r="AB143" s="13">
        <v>35684.5</v>
      </c>
      <c r="AC143" s="13">
        <f t="shared" si="69"/>
        <v>35684.5</v>
      </c>
      <c r="AD143" s="13"/>
      <c r="AE143" s="13"/>
      <c r="AF143" s="13"/>
      <c r="AG143" s="13">
        <v>35684.5</v>
      </c>
      <c r="AH143" s="13">
        <f>AI143+AJ143+AK143+AL143</f>
        <v>35684.5</v>
      </c>
      <c r="AI143" s="13"/>
      <c r="AJ143" s="13"/>
      <c r="AK143" s="13"/>
      <c r="AL143" s="13">
        <v>35684.5</v>
      </c>
      <c r="AM143" s="13">
        <f t="shared" si="71"/>
        <v>35684.5</v>
      </c>
      <c r="AN143" s="13"/>
      <c r="AO143" s="13"/>
      <c r="AP143" s="13"/>
      <c r="AQ143" s="13">
        <v>35684.5</v>
      </c>
    </row>
    <row r="144" spans="1:43" ht="35.1" customHeight="1" thickBot="1">
      <c r="A144" s="14"/>
      <c r="B144" s="22"/>
      <c r="C144" s="320"/>
      <c r="D144" s="320"/>
      <c r="E144" s="320"/>
      <c r="F144" s="212"/>
      <c r="G144" s="212"/>
      <c r="H144" s="212"/>
      <c r="I144" s="212"/>
      <c r="J144" s="212"/>
      <c r="K144" s="13"/>
      <c r="L144" s="13"/>
      <c r="M144" s="24" t="s">
        <v>232</v>
      </c>
      <c r="N144" s="13">
        <f>P144+R144+T144+V144</f>
        <v>2997.7</v>
      </c>
      <c r="O144" s="13">
        <f t="shared" si="67"/>
        <v>2992.4</v>
      </c>
      <c r="P144" s="13"/>
      <c r="Q144" s="13"/>
      <c r="R144" s="13"/>
      <c r="S144" s="13"/>
      <c r="T144" s="13"/>
      <c r="U144" s="13"/>
      <c r="V144" s="13">
        <f>2810.6+3.7+24+8.3+151.1</f>
        <v>2997.7</v>
      </c>
      <c r="W144" s="13">
        <v>2992.4</v>
      </c>
      <c r="X144" s="13">
        <f t="shared" si="68"/>
        <v>2979</v>
      </c>
      <c r="Y144" s="13"/>
      <c r="Z144" s="13"/>
      <c r="AA144" s="13"/>
      <c r="AB144" s="13">
        <v>2979</v>
      </c>
      <c r="AC144" s="13">
        <f t="shared" si="69"/>
        <v>2979</v>
      </c>
      <c r="AD144" s="13"/>
      <c r="AE144" s="13"/>
      <c r="AF144" s="13"/>
      <c r="AG144" s="13">
        <v>2979</v>
      </c>
      <c r="AH144" s="13">
        <f>AI144+AJ144+AK144+AL144</f>
        <v>2979</v>
      </c>
      <c r="AI144" s="13"/>
      <c r="AJ144" s="13"/>
      <c r="AK144" s="13"/>
      <c r="AL144" s="13">
        <v>2979</v>
      </c>
      <c r="AM144" s="13">
        <f t="shared" si="71"/>
        <v>2979</v>
      </c>
      <c r="AN144" s="13"/>
      <c r="AO144" s="13"/>
      <c r="AP144" s="13"/>
      <c r="AQ144" s="13">
        <v>2979</v>
      </c>
    </row>
    <row r="145" spans="1:43" ht="35.1" customHeight="1" thickBot="1">
      <c r="A145" s="17" t="s">
        <v>238</v>
      </c>
      <c r="B145" s="64">
        <v>2530</v>
      </c>
      <c r="C145" s="19"/>
      <c r="D145" s="20"/>
      <c r="E145" s="20"/>
      <c r="F145" s="20"/>
      <c r="G145" s="20"/>
      <c r="H145" s="20"/>
      <c r="I145" s="20"/>
      <c r="J145" s="20"/>
      <c r="K145" s="20"/>
      <c r="L145" s="20">
        <v>7</v>
      </c>
      <c r="M145" s="20"/>
      <c r="N145" s="20">
        <f t="shared" ref="N145:AQ145" si="72">N146+N147+N148+N149+N150+N151+N152</f>
        <v>60437.299999999996</v>
      </c>
      <c r="O145" s="20">
        <f t="shared" si="72"/>
        <v>60336.3</v>
      </c>
      <c r="P145" s="20">
        <f t="shared" si="72"/>
        <v>47.4</v>
      </c>
      <c r="Q145" s="20">
        <f t="shared" si="72"/>
        <v>47.4</v>
      </c>
      <c r="R145" s="20">
        <f t="shared" si="72"/>
        <v>2327.1</v>
      </c>
      <c r="S145" s="20">
        <f t="shared" si="72"/>
        <v>2327.1</v>
      </c>
      <c r="T145" s="20">
        <f t="shared" si="72"/>
        <v>0</v>
      </c>
      <c r="U145" s="20">
        <f t="shared" si="72"/>
        <v>0</v>
      </c>
      <c r="V145" s="20">
        <f t="shared" si="72"/>
        <v>58062.799999999996</v>
      </c>
      <c r="W145" s="20">
        <f t="shared" si="72"/>
        <v>57961.8</v>
      </c>
      <c r="X145" s="20">
        <f t="shared" si="72"/>
        <v>55873.7</v>
      </c>
      <c r="Y145" s="20">
        <f t="shared" si="72"/>
        <v>0</v>
      </c>
      <c r="Z145" s="20">
        <f t="shared" si="72"/>
        <v>154.19999999999999</v>
      </c>
      <c r="AA145" s="20">
        <f t="shared" si="72"/>
        <v>0</v>
      </c>
      <c r="AB145" s="20">
        <f t="shared" si="72"/>
        <v>55719.5</v>
      </c>
      <c r="AC145" s="20">
        <f t="shared" si="72"/>
        <v>55875.1</v>
      </c>
      <c r="AD145" s="20">
        <f t="shared" si="72"/>
        <v>0</v>
      </c>
      <c r="AE145" s="20">
        <f t="shared" si="72"/>
        <v>155.6</v>
      </c>
      <c r="AF145" s="20">
        <f t="shared" si="72"/>
        <v>0</v>
      </c>
      <c r="AG145" s="20">
        <f t="shared" si="72"/>
        <v>55719.5</v>
      </c>
      <c r="AH145" s="20">
        <f t="shared" si="72"/>
        <v>55876.4</v>
      </c>
      <c r="AI145" s="20">
        <f t="shared" si="72"/>
        <v>0</v>
      </c>
      <c r="AJ145" s="20">
        <f t="shared" si="72"/>
        <v>156.9</v>
      </c>
      <c r="AK145" s="20">
        <f t="shared" si="72"/>
        <v>0</v>
      </c>
      <c r="AL145" s="20">
        <f t="shared" si="72"/>
        <v>55719.5</v>
      </c>
      <c r="AM145" s="20">
        <f t="shared" si="72"/>
        <v>55876.4</v>
      </c>
      <c r="AN145" s="20">
        <f t="shared" si="72"/>
        <v>0</v>
      </c>
      <c r="AO145" s="20">
        <f t="shared" si="72"/>
        <v>156.9</v>
      </c>
      <c r="AP145" s="20">
        <f t="shared" si="72"/>
        <v>0</v>
      </c>
      <c r="AQ145" s="20">
        <f t="shared" si="72"/>
        <v>55719.5</v>
      </c>
    </row>
    <row r="146" spans="1:43" ht="35.1" customHeight="1" thickBot="1">
      <c r="A146" s="14"/>
      <c r="B146" s="22"/>
      <c r="C146" s="23" t="s">
        <v>103</v>
      </c>
      <c r="D146" s="23" t="s">
        <v>240</v>
      </c>
      <c r="E146" s="23" t="s">
        <v>143</v>
      </c>
      <c r="F146" s="23" t="s">
        <v>241</v>
      </c>
      <c r="G146" s="23" t="s">
        <v>242</v>
      </c>
      <c r="H146" s="23" t="s">
        <v>243</v>
      </c>
      <c r="I146" s="71" t="s">
        <v>934</v>
      </c>
      <c r="J146" s="26" t="s">
        <v>147</v>
      </c>
      <c r="K146" s="179" t="s">
        <v>935</v>
      </c>
      <c r="L146" s="13"/>
      <c r="M146" s="24" t="s">
        <v>239</v>
      </c>
      <c r="N146" s="13">
        <f>P146+R146+T146+V146</f>
        <v>115.8</v>
      </c>
      <c r="O146" s="13">
        <f>Q146+S146+U146+W146</f>
        <v>115.8</v>
      </c>
      <c r="P146" s="13"/>
      <c r="Q146" s="13"/>
      <c r="R146" s="13">
        <v>84.8</v>
      </c>
      <c r="S146" s="13">
        <v>84.8</v>
      </c>
      <c r="T146" s="13"/>
      <c r="U146" s="13"/>
      <c r="V146" s="13">
        <v>31</v>
      </c>
      <c r="W146" s="13">
        <v>31</v>
      </c>
      <c r="X146" s="13">
        <f>Y146+Z146+AA146+AB146</f>
        <v>85.5</v>
      </c>
      <c r="Y146" s="13"/>
      <c r="Z146" s="13">
        <v>85.5</v>
      </c>
      <c r="AA146" s="13"/>
      <c r="AB146" s="13"/>
      <c r="AC146" s="13">
        <f t="shared" ref="AC146:AC151" si="73">AD146+AE146+AF146+AG146</f>
        <v>85.5</v>
      </c>
      <c r="AD146" s="13"/>
      <c r="AE146" s="13">
        <v>85.5</v>
      </c>
      <c r="AF146" s="13"/>
      <c r="AG146" s="13"/>
      <c r="AH146" s="13">
        <f t="shared" ref="AH146:AH151" si="74">AI146+AJ146+AK146+AL146</f>
        <v>85.5</v>
      </c>
      <c r="AI146" s="13"/>
      <c r="AJ146" s="13">
        <v>85.5</v>
      </c>
      <c r="AK146" s="13"/>
      <c r="AL146" s="13"/>
      <c r="AM146" s="13">
        <f t="shared" ref="AM146:AM151" si="75">AN146+AO146+AP146+AQ146</f>
        <v>85.5</v>
      </c>
      <c r="AN146" s="13"/>
      <c r="AO146" s="13">
        <v>85.5</v>
      </c>
      <c r="AP146" s="13"/>
      <c r="AQ146" s="13"/>
    </row>
    <row r="147" spans="1:43" ht="35.1" customHeight="1" thickBot="1">
      <c r="A147" s="14"/>
      <c r="B147" s="22"/>
      <c r="C147" s="26"/>
      <c r="D147" s="26"/>
      <c r="E147" s="26"/>
      <c r="F147" s="207" t="s">
        <v>146</v>
      </c>
      <c r="G147" s="213" t="s">
        <v>147</v>
      </c>
      <c r="H147" s="213" t="s">
        <v>148</v>
      </c>
      <c r="I147" s="26"/>
      <c r="J147" s="26"/>
      <c r="K147" s="26"/>
      <c r="L147" s="13"/>
      <c r="M147" s="24" t="s">
        <v>244</v>
      </c>
      <c r="N147" s="13">
        <f>P147+R147+T147+V147</f>
        <v>2208.1</v>
      </c>
      <c r="O147" s="13">
        <f t="shared" ref="O147:O152" si="76">Q147+S147+U147+W147</f>
        <v>2199</v>
      </c>
      <c r="P147" s="13"/>
      <c r="Q147" s="13"/>
      <c r="R147" s="13"/>
      <c r="S147" s="13"/>
      <c r="T147" s="13"/>
      <c r="U147" s="13"/>
      <c r="V147" s="13">
        <f>1918.7+17.8+50.8+220.8</f>
        <v>2208.1</v>
      </c>
      <c r="W147" s="13">
        <v>2199</v>
      </c>
      <c r="X147" s="13">
        <f t="shared" ref="X147:X152" si="77">Y147+Z147+AA147+AB147</f>
        <v>3329.1</v>
      </c>
      <c r="Y147" s="13"/>
      <c r="Z147" s="13"/>
      <c r="AA147" s="13"/>
      <c r="AB147" s="13">
        <v>3329.1</v>
      </c>
      <c r="AC147" s="13">
        <f t="shared" si="73"/>
        <v>3329.1</v>
      </c>
      <c r="AD147" s="13"/>
      <c r="AE147" s="13"/>
      <c r="AF147" s="13"/>
      <c r="AG147" s="13">
        <v>3329.1</v>
      </c>
      <c r="AH147" s="13">
        <f t="shared" si="74"/>
        <v>3329.1</v>
      </c>
      <c r="AI147" s="13"/>
      <c r="AJ147" s="13"/>
      <c r="AK147" s="13"/>
      <c r="AL147" s="13">
        <v>3329.1</v>
      </c>
      <c r="AM147" s="13">
        <f t="shared" si="75"/>
        <v>3329.1</v>
      </c>
      <c r="AN147" s="13"/>
      <c r="AO147" s="13"/>
      <c r="AP147" s="13"/>
      <c r="AQ147" s="13">
        <v>3329.1</v>
      </c>
    </row>
    <row r="148" spans="1:43" ht="35.1" customHeight="1" thickBot="1">
      <c r="A148" s="14"/>
      <c r="B148" s="22"/>
      <c r="C148" s="26"/>
      <c r="D148" s="26"/>
      <c r="E148" s="26"/>
      <c r="F148" s="26"/>
      <c r="G148" s="26"/>
      <c r="H148" s="26"/>
      <c r="I148" s="63" t="s">
        <v>225</v>
      </c>
      <c r="J148" s="26" t="s">
        <v>147</v>
      </c>
      <c r="K148" s="27" t="s">
        <v>744</v>
      </c>
      <c r="L148" s="13"/>
      <c r="M148" s="24" t="s">
        <v>245</v>
      </c>
      <c r="N148" s="13">
        <f>P148+R148+T148+V148</f>
        <v>2410</v>
      </c>
      <c r="O148" s="13">
        <f t="shared" si="76"/>
        <v>2409.3000000000002</v>
      </c>
      <c r="P148" s="13"/>
      <c r="Q148" s="13"/>
      <c r="R148" s="13"/>
      <c r="S148" s="13"/>
      <c r="T148" s="13"/>
      <c r="U148" s="13"/>
      <c r="V148" s="13">
        <f>95.6+200+839.8+670+499.1-17.8+123.3</f>
        <v>2410</v>
      </c>
      <c r="W148" s="13">
        <v>2409.3000000000002</v>
      </c>
      <c r="X148" s="13">
        <f t="shared" si="77"/>
        <v>0</v>
      </c>
      <c r="Y148" s="13"/>
      <c r="Z148" s="13"/>
      <c r="AA148" s="13"/>
      <c r="AB148" s="13">
        <v>0</v>
      </c>
      <c r="AC148" s="13">
        <f t="shared" si="73"/>
        <v>0</v>
      </c>
      <c r="AD148" s="13"/>
      <c r="AE148" s="13"/>
      <c r="AF148" s="13"/>
      <c r="AG148" s="13">
        <v>0</v>
      </c>
      <c r="AH148" s="13">
        <f t="shared" si="74"/>
        <v>0</v>
      </c>
      <c r="AI148" s="13"/>
      <c r="AJ148" s="13"/>
      <c r="AK148" s="13"/>
      <c r="AL148" s="13">
        <v>0</v>
      </c>
      <c r="AM148" s="13">
        <f t="shared" si="75"/>
        <v>0</v>
      </c>
      <c r="AN148" s="13"/>
      <c r="AO148" s="13"/>
      <c r="AP148" s="13"/>
      <c r="AQ148" s="13">
        <v>0</v>
      </c>
    </row>
    <row r="149" spans="1:43" ht="35.1" customHeight="1" thickBot="1">
      <c r="A149" s="14"/>
      <c r="B149" s="22"/>
      <c r="C149" s="26"/>
      <c r="D149" s="26"/>
      <c r="E149" s="26"/>
      <c r="F149" s="26"/>
      <c r="G149" s="26"/>
      <c r="H149" s="26"/>
      <c r="I149" s="26"/>
      <c r="J149" s="26"/>
      <c r="K149" s="26"/>
      <c r="L149" s="13"/>
      <c r="M149" s="24" t="s">
        <v>246</v>
      </c>
      <c r="N149" s="13">
        <f>P149+R149+T149+V149</f>
        <v>2761.1999999999994</v>
      </c>
      <c r="O149" s="13">
        <f t="shared" si="76"/>
        <v>2761.2</v>
      </c>
      <c r="P149" s="13"/>
      <c r="Q149" s="13"/>
      <c r="R149" s="13"/>
      <c r="S149" s="13"/>
      <c r="T149" s="13"/>
      <c r="U149" s="13"/>
      <c r="V149" s="13">
        <f>3032.7-50.8-220.8+0.1</f>
        <v>2761.1999999999994</v>
      </c>
      <c r="W149" s="13">
        <v>2761.2</v>
      </c>
      <c r="X149" s="13">
        <f t="shared" si="77"/>
        <v>3431.1</v>
      </c>
      <c r="Y149" s="13"/>
      <c r="Z149" s="13"/>
      <c r="AA149" s="13"/>
      <c r="AB149" s="13">
        <v>3431.1</v>
      </c>
      <c r="AC149" s="13">
        <f t="shared" si="73"/>
        <v>3431.1</v>
      </c>
      <c r="AD149" s="13"/>
      <c r="AE149" s="13"/>
      <c r="AF149" s="13"/>
      <c r="AG149" s="13">
        <v>3431.1</v>
      </c>
      <c r="AH149" s="13">
        <f t="shared" si="74"/>
        <v>3431.1</v>
      </c>
      <c r="AI149" s="13"/>
      <c r="AJ149" s="13"/>
      <c r="AK149" s="13"/>
      <c r="AL149" s="13">
        <v>3431.1</v>
      </c>
      <c r="AM149" s="13">
        <f t="shared" si="75"/>
        <v>3431.1</v>
      </c>
      <c r="AN149" s="13"/>
      <c r="AO149" s="13"/>
      <c r="AP149" s="13"/>
      <c r="AQ149" s="13">
        <v>3431.1</v>
      </c>
    </row>
    <row r="150" spans="1:43" ht="35.1" customHeight="1" thickBot="1">
      <c r="A150" s="14"/>
      <c r="B150" s="22"/>
      <c r="C150" s="26"/>
      <c r="D150" s="26"/>
      <c r="E150" s="26"/>
      <c r="F150" s="26"/>
      <c r="G150" s="26"/>
      <c r="H150" s="26"/>
      <c r="I150" s="26" t="s">
        <v>247</v>
      </c>
      <c r="J150" s="26" t="s">
        <v>147</v>
      </c>
      <c r="K150" s="27" t="s">
        <v>745</v>
      </c>
      <c r="L150" s="13"/>
      <c r="M150" s="24" t="s">
        <v>248</v>
      </c>
      <c r="N150" s="13">
        <f>P150+R150+T150+V150</f>
        <v>50402.6</v>
      </c>
      <c r="O150" s="13">
        <f t="shared" si="76"/>
        <v>50311.4</v>
      </c>
      <c r="P150" s="13"/>
      <c r="Q150" s="13"/>
      <c r="R150" s="13"/>
      <c r="S150" s="13"/>
      <c r="T150" s="13"/>
      <c r="U150" s="13"/>
      <c r="V150" s="13">
        <f>39109+7381.9+3042+869.7</f>
        <v>50402.6</v>
      </c>
      <c r="W150" s="13">
        <v>50311.4</v>
      </c>
      <c r="X150" s="13">
        <f t="shared" si="77"/>
        <v>48959.3</v>
      </c>
      <c r="Y150" s="13"/>
      <c r="Z150" s="13"/>
      <c r="AA150" s="13"/>
      <c r="AB150" s="13">
        <v>48959.3</v>
      </c>
      <c r="AC150" s="13">
        <f t="shared" si="73"/>
        <v>48959.3</v>
      </c>
      <c r="AD150" s="13"/>
      <c r="AE150" s="13"/>
      <c r="AF150" s="13"/>
      <c r="AG150" s="13">
        <v>48959.3</v>
      </c>
      <c r="AH150" s="13">
        <f t="shared" si="74"/>
        <v>48959.3</v>
      </c>
      <c r="AI150" s="13"/>
      <c r="AJ150" s="13"/>
      <c r="AK150" s="13"/>
      <c r="AL150" s="13">
        <v>48959.3</v>
      </c>
      <c r="AM150" s="13">
        <f t="shared" si="75"/>
        <v>48959.3</v>
      </c>
      <c r="AN150" s="13"/>
      <c r="AO150" s="13"/>
      <c r="AP150" s="13"/>
      <c r="AQ150" s="13">
        <v>48959.3</v>
      </c>
    </row>
    <row r="151" spans="1:43" ht="35.1" customHeight="1" thickBot="1">
      <c r="A151" s="14"/>
      <c r="B151" s="22"/>
      <c r="C151" s="23" t="s">
        <v>251</v>
      </c>
      <c r="D151" s="23" t="s">
        <v>252</v>
      </c>
      <c r="E151" s="23" t="s">
        <v>253</v>
      </c>
      <c r="F151" s="205"/>
      <c r="G151" s="205"/>
      <c r="H151" s="205"/>
      <c r="I151" s="26" t="s">
        <v>249</v>
      </c>
      <c r="J151" s="26" t="s">
        <v>147</v>
      </c>
      <c r="K151" s="26" t="s">
        <v>906</v>
      </c>
      <c r="L151" s="13"/>
      <c r="M151" s="24" t="s">
        <v>250</v>
      </c>
      <c r="N151" s="13">
        <f>P151+R151+T151+V151</f>
        <v>69.5</v>
      </c>
      <c r="O151" s="13">
        <f t="shared" si="76"/>
        <v>69.5</v>
      </c>
      <c r="P151" s="13">
        <v>47.4</v>
      </c>
      <c r="Q151" s="13">
        <v>47.4</v>
      </c>
      <c r="R151" s="13">
        <v>20.3</v>
      </c>
      <c r="S151" s="13">
        <v>20.3</v>
      </c>
      <c r="T151" s="13"/>
      <c r="U151" s="13"/>
      <c r="V151" s="13">
        <v>1.8</v>
      </c>
      <c r="W151" s="13">
        <v>1.8</v>
      </c>
      <c r="X151" s="13">
        <f t="shared" si="77"/>
        <v>68.7</v>
      </c>
      <c r="Y151" s="13">
        <v>0</v>
      </c>
      <c r="Z151" s="13">
        <v>68.7</v>
      </c>
      <c r="AA151" s="13"/>
      <c r="AB151" s="13">
        <v>0</v>
      </c>
      <c r="AC151" s="13">
        <f t="shared" si="73"/>
        <v>70.099999999999994</v>
      </c>
      <c r="AD151" s="13"/>
      <c r="AE151" s="13">
        <v>70.099999999999994</v>
      </c>
      <c r="AF151" s="13"/>
      <c r="AG151" s="13"/>
      <c r="AH151" s="13">
        <f t="shared" si="74"/>
        <v>71.400000000000006</v>
      </c>
      <c r="AI151" s="13"/>
      <c r="AJ151" s="13">
        <v>71.400000000000006</v>
      </c>
      <c r="AK151" s="13"/>
      <c r="AL151" s="13"/>
      <c r="AM151" s="13">
        <f t="shared" si="75"/>
        <v>71.400000000000006</v>
      </c>
      <c r="AN151" s="13"/>
      <c r="AO151" s="13">
        <v>71.400000000000006</v>
      </c>
      <c r="AP151" s="13"/>
      <c r="AQ151" s="13">
        <v>0</v>
      </c>
    </row>
    <row r="152" spans="1:43" ht="35.1" customHeight="1" thickBot="1">
      <c r="A152" s="14"/>
      <c r="B152" s="22"/>
      <c r="C152" s="205"/>
      <c r="D152" s="26"/>
      <c r="E152" s="72"/>
      <c r="F152" s="205"/>
      <c r="G152" s="205"/>
      <c r="H152" s="205"/>
      <c r="I152" s="26" t="s">
        <v>254</v>
      </c>
      <c r="J152" s="26" t="s">
        <v>97</v>
      </c>
      <c r="K152" s="26" t="s">
        <v>905</v>
      </c>
      <c r="L152" s="13"/>
      <c r="M152" s="24" t="s">
        <v>255</v>
      </c>
      <c r="N152" s="13">
        <f t="shared" ref="N152" si="78">P152+R152+T152+V152</f>
        <v>2470.1</v>
      </c>
      <c r="O152" s="13">
        <f t="shared" si="76"/>
        <v>2470.1</v>
      </c>
      <c r="P152" s="13"/>
      <c r="Q152" s="13"/>
      <c r="R152" s="13">
        <v>2222</v>
      </c>
      <c r="S152" s="13">
        <v>2222</v>
      </c>
      <c r="T152" s="13"/>
      <c r="U152" s="13"/>
      <c r="V152" s="13">
        <v>248.1</v>
      </c>
      <c r="W152" s="13">
        <v>248.1</v>
      </c>
      <c r="X152" s="13">
        <f t="shared" si="77"/>
        <v>0</v>
      </c>
      <c r="Y152" s="13"/>
      <c r="Z152" s="13">
        <v>0</v>
      </c>
      <c r="AA152" s="13"/>
      <c r="AB152" s="13">
        <v>0</v>
      </c>
      <c r="AC152" s="13">
        <v>0</v>
      </c>
      <c r="AD152" s="13"/>
      <c r="AE152" s="13"/>
      <c r="AF152" s="13"/>
      <c r="AG152" s="13">
        <v>0</v>
      </c>
      <c r="AH152" s="13">
        <v>0</v>
      </c>
      <c r="AI152" s="13"/>
      <c r="AJ152" s="13"/>
      <c r="AK152" s="13"/>
      <c r="AL152" s="13">
        <v>0</v>
      </c>
      <c r="AM152" s="13">
        <v>0</v>
      </c>
      <c r="AN152" s="13"/>
      <c r="AO152" s="13"/>
      <c r="AP152" s="13"/>
      <c r="AQ152" s="13">
        <v>0</v>
      </c>
    </row>
    <row r="153" spans="1:43" ht="35.1" customHeight="1" thickBot="1">
      <c r="A153" s="17" t="s">
        <v>256</v>
      </c>
      <c r="B153" s="64">
        <v>2531</v>
      </c>
      <c r="C153" s="19"/>
      <c r="D153" s="20"/>
      <c r="E153" s="20"/>
      <c r="F153" s="20"/>
      <c r="G153" s="20"/>
      <c r="H153" s="20"/>
      <c r="I153" s="20"/>
      <c r="J153" s="20"/>
      <c r="K153" s="20"/>
      <c r="L153" s="20">
        <v>7</v>
      </c>
      <c r="M153" s="20"/>
      <c r="N153" s="20">
        <f>N154+N155+N156+N157+N164+N165+N166+N167+N170+N171+N172+N173+N160+N161+N159+N163+N162</f>
        <v>190784.4</v>
      </c>
      <c r="O153" s="20">
        <f t="shared" ref="O153:W153" si="79">O154+O155+O156+O157+O164+O165+O166+O167+O170+O171+O172+O173+O160+O161+O159+O163+O162</f>
        <v>189596.59999999998</v>
      </c>
      <c r="P153" s="20">
        <f t="shared" si="79"/>
        <v>0</v>
      </c>
      <c r="Q153" s="20">
        <f t="shared" si="79"/>
        <v>0</v>
      </c>
      <c r="R153" s="20">
        <f t="shared" si="79"/>
        <v>7876</v>
      </c>
      <c r="S153" s="20">
        <f t="shared" si="79"/>
        <v>7768.1</v>
      </c>
      <c r="T153" s="20">
        <f t="shared" si="79"/>
        <v>0</v>
      </c>
      <c r="U153" s="20">
        <f t="shared" si="79"/>
        <v>0</v>
      </c>
      <c r="V153" s="20">
        <f t="shared" si="79"/>
        <v>182908.4</v>
      </c>
      <c r="W153" s="20">
        <f t="shared" si="79"/>
        <v>181828.49999999997</v>
      </c>
      <c r="X153" s="20">
        <f>X154+X155+X156+X157+X164+X165+X166+X167+X170+X171+X172+X173+X160+X161+X159+X163+X162+X158+X168+X169</f>
        <v>178990.5</v>
      </c>
      <c r="Y153" s="20">
        <f t="shared" ref="Y153:AQ153" si="80">Y154+Y155+Y156+Y157+Y164+Y165+Y166+Y167+Y170+Y171+Y172+Y173+Y160+Y161+Y159+Y163+Y162+Y158+Y168+Y169</f>
        <v>0</v>
      </c>
      <c r="Z153" s="20">
        <f t="shared" si="80"/>
        <v>4778</v>
      </c>
      <c r="AA153" s="20">
        <f t="shared" si="80"/>
        <v>0</v>
      </c>
      <c r="AB153" s="20">
        <f t="shared" si="80"/>
        <v>174212.5</v>
      </c>
      <c r="AC153" s="20">
        <f t="shared" si="80"/>
        <v>174212.5</v>
      </c>
      <c r="AD153" s="20">
        <f t="shared" si="80"/>
        <v>0</v>
      </c>
      <c r="AE153" s="20">
        <f t="shared" si="80"/>
        <v>0</v>
      </c>
      <c r="AF153" s="20">
        <f t="shared" si="80"/>
        <v>0</v>
      </c>
      <c r="AG153" s="20">
        <f t="shared" si="80"/>
        <v>174212.5</v>
      </c>
      <c r="AH153" s="20">
        <f t="shared" si="80"/>
        <v>174212.5</v>
      </c>
      <c r="AI153" s="20">
        <f t="shared" si="80"/>
        <v>0</v>
      </c>
      <c r="AJ153" s="20">
        <f t="shared" si="80"/>
        <v>0</v>
      </c>
      <c r="AK153" s="20">
        <f t="shared" si="80"/>
        <v>0</v>
      </c>
      <c r="AL153" s="20">
        <f t="shared" si="80"/>
        <v>174212.5</v>
      </c>
      <c r="AM153" s="20">
        <f t="shared" si="80"/>
        <v>174212.5</v>
      </c>
      <c r="AN153" s="20">
        <f t="shared" si="80"/>
        <v>0</v>
      </c>
      <c r="AO153" s="20">
        <f t="shared" si="80"/>
        <v>0</v>
      </c>
      <c r="AP153" s="20">
        <f t="shared" si="80"/>
        <v>0</v>
      </c>
      <c r="AQ153" s="20">
        <f t="shared" si="80"/>
        <v>174212.5</v>
      </c>
    </row>
    <row r="154" spans="1:43" ht="35.1" customHeight="1" thickBot="1">
      <c r="A154" s="14"/>
      <c r="B154" s="22"/>
      <c r="C154" s="23" t="s">
        <v>103</v>
      </c>
      <c r="D154" s="23" t="s">
        <v>257</v>
      </c>
      <c r="E154" s="23" t="s">
        <v>143</v>
      </c>
      <c r="F154" s="23" t="s">
        <v>258</v>
      </c>
      <c r="G154" s="23" t="s">
        <v>259</v>
      </c>
      <c r="H154" s="23" t="s">
        <v>260</v>
      </c>
      <c r="I154" s="71" t="s">
        <v>721</v>
      </c>
      <c r="J154" s="45" t="s">
        <v>725</v>
      </c>
      <c r="K154" s="179" t="s">
        <v>717</v>
      </c>
      <c r="L154" s="13"/>
      <c r="M154" s="24" t="s">
        <v>266</v>
      </c>
      <c r="N154" s="13">
        <f t="shared" ref="N154:O163" si="81">P154+R154+T154+V154</f>
        <v>950.8</v>
      </c>
      <c r="O154" s="13">
        <f>Q154+S154+U154+W154</f>
        <v>922.5</v>
      </c>
      <c r="P154" s="13"/>
      <c r="Q154" s="13"/>
      <c r="R154" s="13"/>
      <c r="S154" s="13"/>
      <c r="T154" s="13"/>
      <c r="U154" s="13"/>
      <c r="V154" s="13">
        <f>886+13.9+50.9</f>
        <v>950.8</v>
      </c>
      <c r="W154" s="13">
        <v>922.5</v>
      </c>
      <c r="X154" s="13">
        <f t="shared" ref="X154:X160" si="82">Y154+Z154+AA154+AB154</f>
        <v>865.5</v>
      </c>
      <c r="Y154" s="13"/>
      <c r="Z154" s="13"/>
      <c r="AA154" s="13"/>
      <c r="AB154" s="13">
        <v>865.5</v>
      </c>
      <c r="AC154" s="13">
        <f t="shared" ref="AC154:AC163" si="83">AD154+AE154+AF154+AG154</f>
        <v>865.5</v>
      </c>
      <c r="AD154" s="13"/>
      <c r="AE154" s="13"/>
      <c r="AF154" s="13"/>
      <c r="AG154" s="13">
        <v>865.5</v>
      </c>
      <c r="AH154" s="13">
        <f>AI154+AJ154+AL154</f>
        <v>865.5</v>
      </c>
      <c r="AI154" s="13"/>
      <c r="AJ154" s="13"/>
      <c r="AK154" s="13"/>
      <c r="AL154" s="13">
        <v>865.5</v>
      </c>
      <c r="AM154" s="13">
        <f>AN154+AO154+AQ154</f>
        <v>865.5</v>
      </c>
      <c r="AN154" s="13"/>
      <c r="AO154" s="13"/>
      <c r="AP154" s="13"/>
      <c r="AQ154" s="13">
        <v>865.5</v>
      </c>
    </row>
    <row r="155" spans="1:43" ht="35.1" customHeight="1" thickBot="1">
      <c r="A155" s="14"/>
      <c r="B155" s="22"/>
      <c r="C155" s="23" t="s">
        <v>261</v>
      </c>
      <c r="D155" s="23" t="s">
        <v>262</v>
      </c>
      <c r="E155" s="23" t="s">
        <v>263</v>
      </c>
      <c r="F155" s="45" t="s">
        <v>265</v>
      </c>
      <c r="G155" s="26" t="s">
        <v>147</v>
      </c>
      <c r="H155" s="27" t="s">
        <v>746</v>
      </c>
      <c r="I155" s="214" t="s">
        <v>728</v>
      </c>
      <c r="J155" s="228" t="s">
        <v>147</v>
      </c>
      <c r="K155" s="63" t="s">
        <v>747</v>
      </c>
      <c r="L155" s="13"/>
      <c r="M155" s="24" t="s">
        <v>267</v>
      </c>
      <c r="N155" s="13">
        <f t="shared" si="81"/>
        <v>480.6</v>
      </c>
      <c r="O155" s="13">
        <f t="shared" si="81"/>
        <v>480.6</v>
      </c>
      <c r="P155" s="13"/>
      <c r="Q155" s="13"/>
      <c r="R155" s="13"/>
      <c r="S155" s="13"/>
      <c r="T155" s="13"/>
      <c r="U155" s="13"/>
      <c r="V155" s="13">
        <f>437.6+43</f>
        <v>480.6</v>
      </c>
      <c r="W155" s="13">
        <v>480.6</v>
      </c>
      <c r="X155" s="13">
        <f t="shared" si="82"/>
        <v>0</v>
      </c>
      <c r="Y155" s="13"/>
      <c r="Z155" s="13"/>
      <c r="AA155" s="13"/>
      <c r="AB155" s="13">
        <v>0</v>
      </c>
      <c r="AC155" s="13">
        <f t="shared" si="83"/>
        <v>0</v>
      </c>
      <c r="AD155" s="13"/>
      <c r="AE155" s="13"/>
      <c r="AF155" s="13"/>
      <c r="AG155" s="13"/>
      <c r="AH155" s="13">
        <f>AI155+AJ155+AL155</f>
        <v>0</v>
      </c>
      <c r="AI155" s="13"/>
      <c r="AJ155" s="13"/>
      <c r="AK155" s="13"/>
      <c r="AL155" s="13"/>
      <c r="AM155" s="13">
        <f>AN155+AO155+AQ155</f>
        <v>0</v>
      </c>
      <c r="AN155" s="13"/>
      <c r="AO155" s="13"/>
      <c r="AP155" s="13"/>
      <c r="AQ155" s="13"/>
    </row>
    <row r="156" spans="1:43" ht="35.1" customHeight="1" thickBot="1">
      <c r="A156" s="14"/>
      <c r="B156" s="22"/>
      <c r="C156" s="45" t="s">
        <v>264</v>
      </c>
      <c r="D156" s="26" t="s">
        <v>147</v>
      </c>
      <c r="E156" s="26"/>
      <c r="F156" s="207" t="s">
        <v>146</v>
      </c>
      <c r="G156" s="213" t="s">
        <v>147</v>
      </c>
      <c r="H156" s="213" t="s">
        <v>148</v>
      </c>
      <c r="I156" s="214" t="s">
        <v>225</v>
      </c>
      <c r="J156" s="205" t="s">
        <v>147</v>
      </c>
      <c r="K156" s="26" t="s">
        <v>748</v>
      </c>
      <c r="L156" s="13"/>
      <c r="M156" s="24" t="s">
        <v>268</v>
      </c>
      <c r="N156" s="13">
        <f t="shared" si="81"/>
        <v>774.4</v>
      </c>
      <c r="O156" s="13">
        <f t="shared" si="81"/>
        <v>774.4</v>
      </c>
      <c r="P156" s="13"/>
      <c r="Q156" s="13"/>
      <c r="R156" s="13"/>
      <c r="S156" s="13"/>
      <c r="T156" s="13"/>
      <c r="U156" s="13"/>
      <c r="V156" s="13">
        <v>774.4</v>
      </c>
      <c r="W156" s="13">
        <v>774.4</v>
      </c>
      <c r="X156" s="13">
        <f t="shared" si="82"/>
        <v>885.5</v>
      </c>
      <c r="Y156" s="13"/>
      <c r="Z156" s="13"/>
      <c r="AA156" s="13"/>
      <c r="AB156" s="13">
        <v>885.5</v>
      </c>
      <c r="AC156" s="13">
        <f t="shared" si="83"/>
        <v>885.5</v>
      </c>
      <c r="AD156" s="13"/>
      <c r="AE156" s="13"/>
      <c r="AF156" s="13"/>
      <c r="AG156" s="13">
        <v>885.5</v>
      </c>
      <c r="AH156" s="13">
        <f>AI156+AJ156+AL156</f>
        <v>885.5</v>
      </c>
      <c r="AI156" s="13"/>
      <c r="AJ156" s="13"/>
      <c r="AK156" s="13"/>
      <c r="AL156" s="13">
        <v>885.5</v>
      </c>
      <c r="AM156" s="13">
        <f>AN156+AO156+AQ156</f>
        <v>885.5</v>
      </c>
      <c r="AN156" s="13"/>
      <c r="AO156" s="13"/>
      <c r="AP156" s="13"/>
      <c r="AQ156" s="13">
        <v>885.5</v>
      </c>
    </row>
    <row r="157" spans="1:43" ht="35.1" customHeight="1" thickBot="1">
      <c r="A157" s="14"/>
      <c r="B157" s="41"/>
      <c r="C157" s="245"/>
      <c r="D157" s="245"/>
      <c r="E157" s="245"/>
      <c r="F157" s="244"/>
      <c r="G157" s="26"/>
      <c r="H157" s="26"/>
      <c r="I157" s="63"/>
      <c r="J157" s="26"/>
      <c r="K157" s="26"/>
      <c r="L157" s="13"/>
      <c r="M157" s="24" t="s">
        <v>269</v>
      </c>
      <c r="N157" s="13">
        <f t="shared" si="81"/>
        <v>25722.5</v>
      </c>
      <c r="O157" s="13">
        <f t="shared" si="81"/>
        <v>25691</v>
      </c>
      <c r="P157" s="13"/>
      <c r="Q157" s="13"/>
      <c r="R157" s="13"/>
      <c r="S157" s="13"/>
      <c r="T157" s="13"/>
      <c r="U157" s="13"/>
      <c r="V157" s="13">
        <f>19975.3+3772.2+1505+470</f>
        <v>25722.5</v>
      </c>
      <c r="W157" s="13">
        <v>25691</v>
      </c>
      <c r="X157" s="13">
        <f t="shared" si="82"/>
        <v>25005</v>
      </c>
      <c r="Y157" s="13"/>
      <c r="Z157" s="13"/>
      <c r="AA157" s="13"/>
      <c r="AB157" s="13">
        <v>25005</v>
      </c>
      <c r="AC157" s="13">
        <f t="shared" si="83"/>
        <v>25005</v>
      </c>
      <c r="AD157" s="13"/>
      <c r="AE157" s="13"/>
      <c r="AF157" s="13"/>
      <c r="AG157" s="13">
        <v>25005</v>
      </c>
      <c r="AH157" s="13">
        <f>AI157+AJ157+AL157</f>
        <v>25005</v>
      </c>
      <c r="AI157" s="13"/>
      <c r="AJ157" s="13"/>
      <c r="AK157" s="13"/>
      <c r="AL157" s="13">
        <v>25005</v>
      </c>
      <c r="AM157" s="13">
        <f>AN157+AO157+AQ157</f>
        <v>25005</v>
      </c>
      <c r="AN157" s="13"/>
      <c r="AO157" s="13"/>
      <c r="AP157" s="13"/>
      <c r="AQ157" s="13">
        <v>25005</v>
      </c>
    </row>
    <row r="158" spans="1:43" ht="35.1" customHeight="1" thickBot="1">
      <c r="A158" s="149"/>
      <c r="B158" s="25"/>
      <c r="C158" s="275"/>
      <c r="D158" s="275"/>
      <c r="E158" s="275"/>
      <c r="F158" s="45"/>
      <c r="G158" s="205"/>
      <c r="H158" s="205"/>
      <c r="I158" s="63" t="s">
        <v>920</v>
      </c>
      <c r="J158" s="26" t="s">
        <v>97</v>
      </c>
      <c r="K158" s="26" t="s">
        <v>921</v>
      </c>
      <c r="L158" s="13"/>
      <c r="M158" s="24" t="s">
        <v>270</v>
      </c>
      <c r="N158" s="13">
        <v>0</v>
      </c>
      <c r="O158" s="13">
        <f t="shared" si="81"/>
        <v>0</v>
      </c>
      <c r="P158" s="13"/>
      <c r="Q158" s="13"/>
      <c r="R158" s="13"/>
      <c r="S158" s="13"/>
      <c r="T158" s="13"/>
      <c r="U158" s="13"/>
      <c r="V158" s="13">
        <v>0</v>
      </c>
      <c r="W158" s="13">
        <v>0</v>
      </c>
      <c r="X158" s="13">
        <f t="shared" si="82"/>
        <v>1444.6</v>
      </c>
      <c r="Y158" s="13"/>
      <c r="Z158" s="13">
        <v>1444.6</v>
      </c>
      <c r="AA158" s="13"/>
      <c r="AB158" s="13"/>
      <c r="AC158" s="13">
        <f t="shared" si="83"/>
        <v>0</v>
      </c>
      <c r="AD158" s="13"/>
      <c r="AE158" s="13">
        <v>0</v>
      </c>
      <c r="AF158" s="13"/>
      <c r="AG158" s="13">
        <v>0</v>
      </c>
      <c r="AH158" s="13">
        <v>0</v>
      </c>
      <c r="AI158" s="13"/>
      <c r="AJ158" s="13"/>
      <c r="AK158" s="13"/>
      <c r="AL158" s="13">
        <v>0</v>
      </c>
      <c r="AM158" s="13">
        <v>0</v>
      </c>
      <c r="AN158" s="13"/>
      <c r="AO158" s="13"/>
      <c r="AP158" s="13"/>
      <c r="AQ158" s="13">
        <v>0</v>
      </c>
    </row>
    <row r="159" spans="1:43" ht="35.1" customHeight="1" thickBot="1">
      <c r="A159" s="14"/>
      <c r="B159" s="22"/>
      <c r="C159" s="52"/>
      <c r="D159" s="246"/>
      <c r="E159" s="246"/>
      <c r="F159" s="52"/>
      <c r="G159" s="26"/>
      <c r="H159" s="26"/>
      <c r="I159" s="26"/>
      <c r="J159" s="26"/>
      <c r="K159" s="26"/>
      <c r="L159" s="13"/>
      <c r="M159" s="24" t="s">
        <v>271</v>
      </c>
      <c r="N159" s="13">
        <f t="shared" si="81"/>
        <v>4.9999999999999991</v>
      </c>
      <c r="O159" s="13">
        <f t="shared" si="81"/>
        <v>0</v>
      </c>
      <c r="P159" s="13"/>
      <c r="Q159" s="13"/>
      <c r="R159" s="13"/>
      <c r="S159" s="13"/>
      <c r="T159" s="13"/>
      <c r="U159" s="13"/>
      <c r="V159" s="13">
        <f>7.2+5-7.2</f>
        <v>4.9999999999999991</v>
      </c>
      <c r="W159" s="13">
        <v>0</v>
      </c>
      <c r="X159" s="13">
        <f t="shared" si="82"/>
        <v>0</v>
      </c>
      <c r="Y159" s="13"/>
      <c r="Z159" s="13"/>
      <c r="AA159" s="13"/>
      <c r="AB159" s="13">
        <v>0</v>
      </c>
      <c r="AC159" s="13">
        <f t="shared" si="83"/>
        <v>0</v>
      </c>
      <c r="AD159" s="13"/>
      <c r="AE159" s="13"/>
      <c r="AF159" s="13"/>
      <c r="AG159" s="13">
        <v>0</v>
      </c>
      <c r="AH159" s="13">
        <v>0</v>
      </c>
      <c r="AI159" s="13"/>
      <c r="AJ159" s="13"/>
      <c r="AK159" s="13"/>
      <c r="AL159" s="13">
        <v>0</v>
      </c>
      <c r="AM159" s="13">
        <v>0</v>
      </c>
      <c r="AN159" s="13"/>
      <c r="AO159" s="13"/>
      <c r="AP159" s="13"/>
      <c r="AQ159" s="13">
        <v>0</v>
      </c>
    </row>
    <row r="160" spans="1:43" ht="35.1" customHeight="1" thickBot="1">
      <c r="A160" s="14"/>
      <c r="B160" s="22"/>
      <c r="C160" s="45"/>
      <c r="D160" s="26"/>
      <c r="E160" s="26"/>
      <c r="F160" s="73" t="s">
        <v>272</v>
      </c>
      <c r="G160" s="26" t="s">
        <v>147</v>
      </c>
      <c r="H160" s="45" t="s">
        <v>749</v>
      </c>
      <c r="I160" s="26" t="s">
        <v>273</v>
      </c>
      <c r="J160" s="26" t="s">
        <v>147</v>
      </c>
      <c r="K160" s="26"/>
      <c r="L160" s="13"/>
      <c r="M160" s="24" t="s">
        <v>274</v>
      </c>
      <c r="N160" s="13">
        <f>P160+R160+T160+V160</f>
        <v>6097.5999999999995</v>
      </c>
      <c r="O160" s="13">
        <f t="shared" si="81"/>
        <v>5982.4</v>
      </c>
      <c r="P160" s="13"/>
      <c r="Q160" s="13"/>
      <c r="R160" s="13">
        <v>5188.8999999999996</v>
      </c>
      <c r="S160" s="13">
        <v>5081</v>
      </c>
      <c r="T160" s="13"/>
      <c r="U160" s="13"/>
      <c r="V160" s="13">
        <f>446.6-5+478.8-11.7</f>
        <v>908.7</v>
      </c>
      <c r="W160" s="13">
        <v>901.4</v>
      </c>
      <c r="X160" s="13">
        <f t="shared" si="82"/>
        <v>0</v>
      </c>
      <c r="Y160" s="13"/>
      <c r="Z160" s="13">
        <v>0</v>
      </c>
      <c r="AA160" s="13"/>
      <c r="AB160" s="13">
        <v>0</v>
      </c>
      <c r="AC160" s="13">
        <f t="shared" si="83"/>
        <v>0</v>
      </c>
      <c r="AD160" s="13"/>
      <c r="AE160" s="13"/>
      <c r="AF160" s="13"/>
      <c r="AG160" s="13">
        <v>0</v>
      </c>
      <c r="AH160" s="13">
        <v>0</v>
      </c>
      <c r="AI160" s="13"/>
      <c r="AJ160" s="13"/>
      <c r="AK160" s="13"/>
      <c r="AL160" s="13">
        <v>0</v>
      </c>
      <c r="AM160" s="13">
        <v>0</v>
      </c>
      <c r="AN160" s="13"/>
      <c r="AO160" s="13"/>
      <c r="AP160" s="13"/>
      <c r="AQ160" s="13">
        <v>0</v>
      </c>
    </row>
    <row r="161" spans="1:43" ht="35.1" customHeight="1" thickBot="1">
      <c r="A161" s="14"/>
      <c r="B161" s="22"/>
      <c r="C161" s="26"/>
      <c r="D161" s="26"/>
      <c r="E161" s="26"/>
      <c r="F161" s="26"/>
      <c r="G161" s="26"/>
      <c r="H161" s="26"/>
      <c r="I161" s="26" t="s">
        <v>275</v>
      </c>
      <c r="J161" s="26" t="s">
        <v>147</v>
      </c>
      <c r="K161" s="27">
        <v>46022</v>
      </c>
      <c r="L161" s="13"/>
      <c r="M161" s="24" t="s">
        <v>276</v>
      </c>
      <c r="N161" s="13">
        <f t="shared" si="81"/>
        <v>2640.7</v>
      </c>
      <c r="O161" s="13">
        <f t="shared" si="81"/>
        <v>2640.7</v>
      </c>
      <c r="P161" s="13"/>
      <c r="Q161" s="13"/>
      <c r="R161" s="13">
        <v>2000</v>
      </c>
      <c r="S161" s="13">
        <v>2000</v>
      </c>
      <c r="T161" s="13"/>
      <c r="U161" s="13"/>
      <c r="V161" s="13">
        <v>640.70000000000005</v>
      </c>
      <c r="W161" s="13">
        <v>640.70000000000005</v>
      </c>
      <c r="X161" s="13">
        <f t="shared" ref="X161:X163" si="84">Y161+Z161+AA161+AB161</f>
        <v>0</v>
      </c>
      <c r="Y161" s="13"/>
      <c r="Z161" s="13">
        <v>0</v>
      </c>
      <c r="AA161" s="13"/>
      <c r="AB161" s="13">
        <v>0</v>
      </c>
      <c r="AC161" s="13">
        <f t="shared" si="83"/>
        <v>0</v>
      </c>
      <c r="AD161" s="13"/>
      <c r="AE161" s="13"/>
      <c r="AF161" s="13"/>
      <c r="AG161" s="13">
        <v>0</v>
      </c>
      <c r="AH161" s="13">
        <v>0</v>
      </c>
      <c r="AI161" s="13"/>
      <c r="AJ161" s="13"/>
      <c r="AK161" s="13"/>
      <c r="AL161" s="13">
        <v>0</v>
      </c>
      <c r="AM161" s="13">
        <v>0</v>
      </c>
      <c r="AN161" s="13"/>
      <c r="AO161" s="13"/>
      <c r="AP161" s="13"/>
      <c r="AQ161" s="13">
        <v>0</v>
      </c>
    </row>
    <row r="162" spans="1:43" ht="35.1" customHeight="1" thickBot="1">
      <c r="A162" s="14"/>
      <c r="B162" s="22"/>
      <c r="C162" s="26"/>
      <c r="D162" s="26"/>
      <c r="E162" s="26"/>
      <c r="F162" s="26"/>
      <c r="G162" s="26"/>
      <c r="H162" s="26"/>
      <c r="I162" s="26" t="s">
        <v>277</v>
      </c>
      <c r="J162" s="26" t="s">
        <v>147</v>
      </c>
      <c r="K162" s="27">
        <v>46023</v>
      </c>
      <c r="L162" s="13"/>
      <c r="M162" s="24" t="s">
        <v>278</v>
      </c>
      <c r="N162" s="13">
        <f t="shared" si="81"/>
        <v>108</v>
      </c>
      <c r="O162" s="13">
        <f t="shared" si="81"/>
        <v>108</v>
      </c>
      <c r="P162" s="13"/>
      <c r="Q162" s="13"/>
      <c r="R162" s="13">
        <v>90</v>
      </c>
      <c r="S162" s="13">
        <v>90</v>
      </c>
      <c r="T162" s="13"/>
      <c r="U162" s="13"/>
      <c r="V162" s="13">
        <f>3+15</f>
        <v>18</v>
      </c>
      <c r="W162" s="13">
        <v>18</v>
      </c>
      <c r="X162" s="13">
        <f t="shared" si="84"/>
        <v>0</v>
      </c>
      <c r="Y162" s="13"/>
      <c r="Z162" s="13">
        <v>0</v>
      </c>
      <c r="AA162" s="13"/>
      <c r="AB162" s="13">
        <v>0</v>
      </c>
      <c r="AC162" s="13">
        <f t="shared" si="83"/>
        <v>0</v>
      </c>
      <c r="AD162" s="13"/>
      <c r="AE162" s="13"/>
      <c r="AF162" s="13"/>
      <c r="AG162" s="13">
        <v>0</v>
      </c>
      <c r="AH162" s="13">
        <v>0</v>
      </c>
      <c r="AI162" s="13"/>
      <c r="AJ162" s="13"/>
      <c r="AK162" s="13"/>
      <c r="AL162" s="13">
        <v>0</v>
      </c>
      <c r="AM162" s="13">
        <v>0</v>
      </c>
      <c r="AN162" s="13"/>
      <c r="AO162" s="13"/>
      <c r="AP162" s="13"/>
      <c r="AQ162" s="13">
        <v>0</v>
      </c>
    </row>
    <row r="163" spans="1:43" ht="35.1" customHeight="1" thickBot="1">
      <c r="A163" s="14"/>
      <c r="B163" s="22"/>
      <c r="C163" s="26"/>
      <c r="D163" s="26"/>
      <c r="E163" s="26"/>
      <c r="F163" s="26"/>
      <c r="G163" s="26"/>
      <c r="H163" s="26"/>
      <c r="I163" s="26" t="s">
        <v>279</v>
      </c>
      <c r="J163" s="26" t="s">
        <v>147</v>
      </c>
      <c r="K163" s="27">
        <v>46023</v>
      </c>
      <c r="L163" s="13"/>
      <c r="M163" s="24" t="s">
        <v>280</v>
      </c>
      <c r="N163" s="13">
        <f t="shared" si="81"/>
        <v>630</v>
      </c>
      <c r="O163" s="13">
        <f t="shared" si="81"/>
        <v>630</v>
      </c>
      <c r="P163" s="13"/>
      <c r="Q163" s="13"/>
      <c r="R163" s="13">
        <f>630-32.9</f>
        <v>597.1</v>
      </c>
      <c r="S163" s="13">
        <v>597.1</v>
      </c>
      <c r="T163" s="13"/>
      <c r="U163" s="13"/>
      <c r="V163" s="13">
        <v>32.9</v>
      </c>
      <c r="W163" s="13">
        <v>32.9</v>
      </c>
      <c r="X163" s="13">
        <f t="shared" si="84"/>
        <v>0</v>
      </c>
      <c r="Y163" s="13"/>
      <c r="Z163" s="13">
        <v>0</v>
      </c>
      <c r="AA163" s="13"/>
      <c r="AB163" s="13">
        <v>0</v>
      </c>
      <c r="AC163" s="13">
        <f t="shared" si="83"/>
        <v>0</v>
      </c>
      <c r="AD163" s="13"/>
      <c r="AE163" s="13"/>
      <c r="AF163" s="13"/>
      <c r="AG163" s="13">
        <v>0</v>
      </c>
      <c r="AH163" s="13">
        <v>0</v>
      </c>
      <c r="AI163" s="13"/>
      <c r="AJ163" s="13"/>
      <c r="AK163" s="13"/>
      <c r="AL163" s="13">
        <v>0</v>
      </c>
      <c r="AM163" s="13">
        <v>0</v>
      </c>
      <c r="AN163" s="13"/>
      <c r="AO163" s="13"/>
      <c r="AP163" s="13"/>
      <c r="AQ163" s="13">
        <v>0</v>
      </c>
    </row>
    <row r="164" spans="1:43" ht="35.1" customHeight="1" thickBot="1">
      <c r="A164" s="14"/>
      <c r="B164" s="22"/>
      <c r="C164" s="26"/>
      <c r="D164" s="26"/>
      <c r="E164" s="26"/>
      <c r="F164" s="26"/>
      <c r="G164" s="26"/>
      <c r="H164" s="26"/>
      <c r="I164" s="63" t="s">
        <v>225</v>
      </c>
      <c r="J164" s="26" t="s">
        <v>147</v>
      </c>
      <c r="K164" s="27" t="s">
        <v>744</v>
      </c>
      <c r="L164" s="13"/>
      <c r="M164" s="24" t="s">
        <v>281</v>
      </c>
      <c r="N164" s="13">
        <f t="shared" ref="N164:N167" si="85">P164+R164+T164+V164</f>
        <v>16828.7</v>
      </c>
      <c r="O164" s="13">
        <f t="shared" ref="O164:O173" si="86">Q164+S164+U164+W164</f>
        <v>16820.8</v>
      </c>
      <c r="P164" s="13"/>
      <c r="Q164" s="13"/>
      <c r="R164" s="13"/>
      <c r="S164" s="13"/>
      <c r="T164" s="13"/>
      <c r="U164" s="13"/>
      <c r="V164" s="13">
        <f>10391.2+258.8+1170+1290.5+150+2200+840+528.2</f>
        <v>16828.7</v>
      </c>
      <c r="W164" s="13">
        <v>16820.8</v>
      </c>
      <c r="X164" s="13">
        <f t="shared" ref="X164:X169" si="87">Y164+Z164+AA164+AB164</f>
        <v>8501.7000000000007</v>
      </c>
      <c r="Y164" s="13"/>
      <c r="Z164" s="13"/>
      <c r="AA164" s="13"/>
      <c r="AB164" s="13">
        <v>8501.7000000000007</v>
      </c>
      <c r="AC164" s="13">
        <f t="shared" ref="AC164:AC169" si="88">AD164+AE164+AF164+AG164</f>
        <v>8501.7000000000007</v>
      </c>
      <c r="AD164" s="13"/>
      <c r="AE164" s="13"/>
      <c r="AF164" s="13"/>
      <c r="AG164" s="13">
        <v>8501.7000000000007</v>
      </c>
      <c r="AH164" s="13">
        <f t="shared" ref="AH164:AH168" si="89">AI164+AJ164+AL164</f>
        <v>8501.7000000000007</v>
      </c>
      <c r="AI164" s="13"/>
      <c r="AJ164" s="13"/>
      <c r="AK164" s="13"/>
      <c r="AL164" s="13">
        <v>8501.7000000000007</v>
      </c>
      <c r="AM164" s="13">
        <f t="shared" ref="AM164:AM168" si="90">AN164+AO164+AQ164</f>
        <v>8501.7000000000007</v>
      </c>
      <c r="AN164" s="13"/>
      <c r="AO164" s="13"/>
      <c r="AP164" s="13"/>
      <c r="AQ164" s="13">
        <v>8501.7000000000007</v>
      </c>
    </row>
    <row r="165" spans="1:43" ht="35.1" customHeight="1" thickBot="1">
      <c r="A165" s="14"/>
      <c r="B165" s="22"/>
      <c r="C165" s="26"/>
      <c r="D165" s="26"/>
      <c r="E165" s="26"/>
      <c r="F165" s="26"/>
      <c r="G165" s="26"/>
      <c r="H165" s="26"/>
      <c r="I165" s="26"/>
      <c r="J165" s="26"/>
      <c r="K165" s="26"/>
      <c r="L165" s="13"/>
      <c r="M165" s="24" t="s">
        <v>282</v>
      </c>
      <c r="N165" s="13">
        <f t="shared" si="85"/>
        <v>509.5</v>
      </c>
      <c r="O165" s="13">
        <f t="shared" si="86"/>
        <v>495.7</v>
      </c>
      <c r="P165" s="13"/>
      <c r="Q165" s="13"/>
      <c r="R165" s="13"/>
      <c r="S165" s="13"/>
      <c r="T165" s="13"/>
      <c r="U165" s="13"/>
      <c r="V165" s="13">
        <v>509.5</v>
      </c>
      <c r="W165" s="13">
        <v>495.7</v>
      </c>
      <c r="X165" s="13">
        <f t="shared" si="87"/>
        <v>0</v>
      </c>
      <c r="Y165" s="13"/>
      <c r="Z165" s="13"/>
      <c r="AA165" s="13"/>
      <c r="AB165" s="13">
        <v>0</v>
      </c>
      <c r="AC165" s="13">
        <f t="shared" si="88"/>
        <v>0</v>
      </c>
      <c r="AD165" s="13"/>
      <c r="AE165" s="13"/>
      <c r="AF165" s="13"/>
      <c r="AG165" s="13"/>
      <c r="AH165" s="13">
        <f t="shared" si="89"/>
        <v>0</v>
      </c>
      <c r="AI165" s="13"/>
      <c r="AJ165" s="13"/>
      <c r="AK165" s="13"/>
      <c r="AL165" s="13"/>
      <c r="AM165" s="13">
        <f t="shared" si="90"/>
        <v>0</v>
      </c>
      <c r="AN165" s="13"/>
      <c r="AO165" s="13"/>
      <c r="AP165" s="13"/>
      <c r="AQ165" s="13"/>
    </row>
    <row r="166" spans="1:43" ht="35.1" customHeight="1" thickBot="1">
      <c r="A166" s="14"/>
      <c r="B166" s="22"/>
      <c r="C166" s="26"/>
      <c r="D166" s="26"/>
      <c r="E166" s="26"/>
      <c r="F166" s="26"/>
      <c r="G166" s="26"/>
      <c r="H166" s="26"/>
      <c r="I166" s="63"/>
      <c r="J166" s="26"/>
      <c r="K166" s="26"/>
      <c r="L166" s="13"/>
      <c r="M166" s="24" t="s">
        <v>283</v>
      </c>
      <c r="N166" s="13">
        <f t="shared" si="85"/>
        <v>5626</v>
      </c>
      <c r="O166" s="13">
        <f t="shared" si="86"/>
        <v>5365.5</v>
      </c>
      <c r="P166" s="13"/>
      <c r="Q166" s="13"/>
      <c r="R166" s="13"/>
      <c r="S166" s="13"/>
      <c r="T166" s="13"/>
      <c r="U166" s="13"/>
      <c r="V166" s="13">
        <f>6154.2-528.2</f>
        <v>5626</v>
      </c>
      <c r="W166" s="13">
        <v>5365.5</v>
      </c>
      <c r="X166" s="13">
        <f t="shared" si="87"/>
        <v>7330.9</v>
      </c>
      <c r="Y166" s="13"/>
      <c r="Z166" s="13"/>
      <c r="AA166" s="13"/>
      <c r="AB166" s="13">
        <v>7330.9</v>
      </c>
      <c r="AC166" s="13">
        <f t="shared" si="88"/>
        <v>7330.9</v>
      </c>
      <c r="AD166" s="13"/>
      <c r="AE166" s="13"/>
      <c r="AF166" s="13"/>
      <c r="AG166" s="13">
        <v>7330.9</v>
      </c>
      <c r="AH166" s="13">
        <f t="shared" si="89"/>
        <v>7330.9</v>
      </c>
      <c r="AI166" s="13"/>
      <c r="AJ166" s="13"/>
      <c r="AK166" s="13"/>
      <c r="AL166" s="13">
        <v>7330.9</v>
      </c>
      <c r="AM166" s="13">
        <f t="shared" si="90"/>
        <v>7330.9</v>
      </c>
      <c r="AN166" s="13"/>
      <c r="AO166" s="13"/>
      <c r="AP166" s="13"/>
      <c r="AQ166" s="13">
        <v>7330.9</v>
      </c>
    </row>
    <row r="167" spans="1:43" ht="35.1" customHeight="1" thickBot="1">
      <c r="A167" s="14"/>
      <c r="B167" s="22"/>
      <c r="C167" s="26"/>
      <c r="D167" s="26"/>
      <c r="E167" s="26"/>
      <c r="F167" s="26"/>
      <c r="G167" s="26"/>
      <c r="H167" s="26"/>
      <c r="I167" s="63"/>
      <c r="J167" s="26"/>
      <c r="K167" s="26"/>
      <c r="L167" s="13"/>
      <c r="M167" s="24" t="s">
        <v>284</v>
      </c>
      <c r="N167" s="13">
        <f t="shared" si="85"/>
        <v>60871.6</v>
      </c>
      <c r="O167" s="13">
        <f t="shared" si="86"/>
        <v>60853.4</v>
      </c>
      <c r="P167" s="13"/>
      <c r="Q167" s="13"/>
      <c r="R167" s="13"/>
      <c r="S167" s="13"/>
      <c r="T167" s="13"/>
      <c r="U167" s="13"/>
      <c r="V167" s="13">
        <f>47890.4+8681.1-61.2+3426.7+934.6</f>
        <v>60871.6</v>
      </c>
      <c r="W167" s="13">
        <v>60853.4</v>
      </c>
      <c r="X167" s="13">
        <f t="shared" si="87"/>
        <v>59324.2</v>
      </c>
      <c r="Y167" s="13"/>
      <c r="Z167" s="13"/>
      <c r="AA167" s="13"/>
      <c r="AB167" s="13">
        <v>59324.2</v>
      </c>
      <c r="AC167" s="13">
        <f t="shared" si="88"/>
        <v>59324.2</v>
      </c>
      <c r="AD167" s="13"/>
      <c r="AE167" s="13"/>
      <c r="AF167" s="13"/>
      <c r="AG167" s="13">
        <v>59324.2</v>
      </c>
      <c r="AH167" s="13">
        <f t="shared" si="89"/>
        <v>59324.2</v>
      </c>
      <c r="AI167" s="13"/>
      <c r="AJ167" s="13"/>
      <c r="AK167" s="13"/>
      <c r="AL167" s="13">
        <v>59324.2</v>
      </c>
      <c r="AM167" s="13">
        <f t="shared" si="90"/>
        <v>59324.2</v>
      </c>
      <c r="AN167" s="13"/>
      <c r="AO167" s="13"/>
      <c r="AP167" s="13"/>
      <c r="AQ167" s="13">
        <v>59324.2</v>
      </c>
    </row>
    <row r="168" spans="1:43" ht="35.1" customHeight="1" thickBot="1">
      <c r="A168" s="14"/>
      <c r="B168" s="22"/>
      <c r="C168" s="26"/>
      <c r="D168" s="26"/>
      <c r="E168" s="26"/>
      <c r="F168" s="26"/>
      <c r="G168" s="26"/>
      <c r="H168" s="26"/>
      <c r="I168" s="26"/>
      <c r="J168" s="26"/>
      <c r="K168" s="26"/>
      <c r="L168" s="13"/>
      <c r="M168" s="24" t="s">
        <v>285</v>
      </c>
      <c r="N168" s="13">
        <v>0</v>
      </c>
      <c r="O168" s="13">
        <v>0</v>
      </c>
      <c r="P168" s="13"/>
      <c r="Q168" s="13"/>
      <c r="R168" s="13"/>
      <c r="S168" s="13"/>
      <c r="T168" s="13"/>
      <c r="U168" s="13"/>
      <c r="V168" s="13">
        <v>0</v>
      </c>
      <c r="W168" s="13">
        <v>0</v>
      </c>
      <c r="X168" s="13">
        <f t="shared" si="87"/>
        <v>55</v>
      </c>
      <c r="Y168" s="13"/>
      <c r="Z168" s="13"/>
      <c r="AA168" s="13"/>
      <c r="AB168" s="13">
        <v>55</v>
      </c>
      <c r="AC168" s="13">
        <f t="shared" si="88"/>
        <v>55</v>
      </c>
      <c r="AD168" s="13"/>
      <c r="AE168" s="13"/>
      <c r="AF168" s="13"/>
      <c r="AG168" s="13">
        <v>55</v>
      </c>
      <c r="AH168" s="13">
        <f t="shared" si="89"/>
        <v>55</v>
      </c>
      <c r="AI168" s="13"/>
      <c r="AJ168" s="13"/>
      <c r="AK168" s="13"/>
      <c r="AL168" s="13">
        <v>55</v>
      </c>
      <c r="AM168" s="13">
        <f t="shared" si="90"/>
        <v>55</v>
      </c>
      <c r="AN168" s="13"/>
      <c r="AO168" s="13"/>
      <c r="AP168" s="13"/>
      <c r="AQ168" s="13">
        <v>55</v>
      </c>
    </row>
    <row r="169" spans="1:43" ht="35.1" customHeight="1" thickBot="1">
      <c r="A169" s="14"/>
      <c r="B169" s="22"/>
      <c r="C169" s="26"/>
      <c r="D169" s="26"/>
      <c r="E169" s="26"/>
      <c r="F169" s="26"/>
      <c r="G169" s="26"/>
      <c r="H169" s="26"/>
      <c r="I169" s="26" t="s">
        <v>922</v>
      </c>
      <c r="J169" s="26" t="s">
        <v>147</v>
      </c>
      <c r="K169" s="26" t="s">
        <v>923</v>
      </c>
      <c r="L169" s="13"/>
      <c r="M169" s="24" t="s">
        <v>286</v>
      </c>
      <c r="N169" s="13">
        <v>0</v>
      </c>
      <c r="O169" s="13">
        <v>0</v>
      </c>
      <c r="P169" s="13"/>
      <c r="Q169" s="13"/>
      <c r="R169" s="13"/>
      <c r="S169" s="13"/>
      <c r="T169" s="13"/>
      <c r="U169" s="13"/>
      <c r="V169" s="13">
        <v>0</v>
      </c>
      <c r="W169" s="13">
        <v>0</v>
      </c>
      <c r="X169" s="13">
        <f t="shared" si="87"/>
        <v>3333.4</v>
      </c>
      <c r="Y169" s="13"/>
      <c r="Z169" s="13">
        <v>3333.4</v>
      </c>
      <c r="AA169" s="13"/>
      <c r="AB169" s="13"/>
      <c r="AC169" s="13">
        <f t="shared" si="88"/>
        <v>0</v>
      </c>
      <c r="AD169" s="13"/>
      <c r="AE169" s="13">
        <v>0</v>
      </c>
      <c r="AF169" s="13"/>
      <c r="AG169" s="13"/>
      <c r="AH169" s="13">
        <v>0</v>
      </c>
      <c r="AI169" s="13"/>
      <c r="AJ169" s="13"/>
      <c r="AK169" s="13"/>
      <c r="AL169" s="13">
        <v>0</v>
      </c>
      <c r="AM169" s="13">
        <v>0</v>
      </c>
      <c r="AN169" s="13"/>
      <c r="AO169" s="13"/>
      <c r="AP169" s="13"/>
      <c r="AQ169" s="13">
        <v>0</v>
      </c>
    </row>
    <row r="170" spans="1:43" ht="35.1" customHeight="1" thickBot="1">
      <c r="A170" s="14"/>
      <c r="B170" s="22"/>
      <c r="C170" s="26"/>
      <c r="D170" s="26"/>
      <c r="E170" s="26"/>
      <c r="F170" s="26"/>
      <c r="G170" s="26"/>
      <c r="H170" s="26"/>
      <c r="I170" s="26" t="s">
        <v>287</v>
      </c>
      <c r="J170" s="26" t="s">
        <v>147</v>
      </c>
      <c r="K170" s="26" t="s">
        <v>750</v>
      </c>
      <c r="L170" s="13"/>
      <c r="M170" s="24" t="s">
        <v>288</v>
      </c>
      <c r="N170" s="13">
        <f>P170+R170+T170+V170</f>
        <v>64009.69999999999</v>
      </c>
      <c r="O170" s="13">
        <f t="shared" si="86"/>
        <v>63891.199999999997</v>
      </c>
      <c r="P170" s="13"/>
      <c r="Q170" s="13"/>
      <c r="R170" s="13"/>
      <c r="S170" s="13"/>
      <c r="T170" s="13"/>
      <c r="U170" s="13"/>
      <c r="V170" s="13">
        <f>54659.7+4832.2+561+395.6+3561.2</f>
        <v>64009.69999999999</v>
      </c>
      <c r="W170" s="13">
        <v>63891.199999999997</v>
      </c>
      <c r="X170" s="13">
        <f>Y170+Z170+AA170+AB170</f>
        <v>64074.2</v>
      </c>
      <c r="Y170" s="13"/>
      <c r="Z170" s="13"/>
      <c r="AA170" s="13"/>
      <c r="AB170" s="13">
        <v>64074.2</v>
      </c>
      <c r="AC170" s="13">
        <f>AD170+AE170+AF170+AG170</f>
        <v>64074.2</v>
      </c>
      <c r="AD170" s="13"/>
      <c r="AE170" s="13"/>
      <c r="AF170" s="13"/>
      <c r="AG170" s="13">
        <v>64074.2</v>
      </c>
      <c r="AH170" s="13">
        <f>AI170+AJ170+AL170</f>
        <v>64074.2</v>
      </c>
      <c r="AI170" s="13"/>
      <c r="AJ170" s="13"/>
      <c r="AK170" s="13"/>
      <c r="AL170" s="13">
        <v>64074.2</v>
      </c>
      <c r="AM170" s="13">
        <f>AN170+AO170+AQ170</f>
        <v>64074.2</v>
      </c>
      <c r="AN170" s="13"/>
      <c r="AO170" s="13"/>
      <c r="AP170" s="13"/>
      <c r="AQ170" s="13">
        <v>64074.2</v>
      </c>
    </row>
    <row r="171" spans="1:43" ht="35.1" customHeight="1" thickBot="1">
      <c r="A171" s="14"/>
      <c r="B171" s="22"/>
      <c r="C171" s="26"/>
      <c r="D171" s="26"/>
      <c r="E171" s="26"/>
      <c r="F171" s="26"/>
      <c r="G171" s="26"/>
      <c r="H171" s="26"/>
      <c r="I171" s="26"/>
      <c r="J171" s="26"/>
      <c r="K171" s="26"/>
      <c r="L171" s="13"/>
      <c r="M171" s="24" t="s">
        <v>289</v>
      </c>
      <c r="N171" s="13">
        <f>P171+R171+T171+V171</f>
        <v>5197.3999999999996</v>
      </c>
      <c r="O171" s="13">
        <f t="shared" si="86"/>
        <v>4675.8999999999996</v>
      </c>
      <c r="P171" s="13"/>
      <c r="Q171" s="13"/>
      <c r="R171" s="13"/>
      <c r="S171" s="13"/>
      <c r="T171" s="13"/>
      <c r="U171" s="13"/>
      <c r="V171" s="13">
        <f>3186.7+250+1385.7+90+285</f>
        <v>5197.3999999999996</v>
      </c>
      <c r="W171" s="13">
        <v>4675.8999999999996</v>
      </c>
      <c r="X171" s="13">
        <f>Y171+Z171+AA171+AB171</f>
        <v>6621.8</v>
      </c>
      <c r="Y171" s="13"/>
      <c r="Z171" s="13"/>
      <c r="AA171" s="13"/>
      <c r="AB171" s="13">
        <v>6621.8</v>
      </c>
      <c r="AC171" s="13">
        <f>AD171+AE171+AF171+AG171</f>
        <v>6621.8</v>
      </c>
      <c r="AD171" s="13"/>
      <c r="AE171" s="13"/>
      <c r="AF171" s="13"/>
      <c r="AG171" s="13">
        <v>6621.8</v>
      </c>
      <c r="AH171" s="13">
        <f>AI171+AJ171+AL171</f>
        <v>6621.8</v>
      </c>
      <c r="AI171" s="13"/>
      <c r="AJ171" s="13"/>
      <c r="AK171" s="13"/>
      <c r="AL171" s="13">
        <v>6621.8</v>
      </c>
      <c r="AM171" s="13">
        <f>AN171+AO171+AQ171</f>
        <v>6621.8</v>
      </c>
      <c r="AN171" s="13"/>
      <c r="AO171" s="13"/>
      <c r="AP171" s="13"/>
      <c r="AQ171" s="13">
        <v>6621.8</v>
      </c>
    </row>
    <row r="172" spans="1:43" ht="35.1" customHeight="1" thickBot="1">
      <c r="A172" s="14"/>
      <c r="B172" s="22"/>
      <c r="F172" s="26"/>
      <c r="G172" s="26"/>
      <c r="H172" s="26"/>
      <c r="I172" s="26"/>
      <c r="J172" s="26"/>
      <c r="K172" s="26"/>
      <c r="L172" s="13"/>
      <c r="M172" s="24" t="s">
        <v>290</v>
      </c>
      <c r="N172" s="13">
        <f>P172+R172+T172+V172</f>
        <v>326.89999999999986</v>
      </c>
      <c r="O172" s="13">
        <f t="shared" si="86"/>
        <v>260.2</v>
      </c>
      <c r="P172" s="13"/>
      <c r="Q172" s="13"/>
      <c r="R172" s="13"/>
      <c r="S172" s="13"/>
      <c r="T172" s="13"/>
      <c r="U172" s="13"/>
      <c r="V172" s="13">
        <f>1712.6-1385.7</f>
        <v>326.89999999999986</v>
      </c>
      <c r="W172" s="13">
        <v>260.2</v>
      </c>
      <c r="X172" s="13">
        <f>Y172+Z172+AA172+AB172</f>
        <v>1533.7</v>
      </c>
      <c r="Y172" s="13"/>
      <c r="Z172" s="13"/>
      <c r="AA172" s="13"/>
      <c r="AB172" s="13">
        <v>1533.7</v>
      </c>
      <c r="AC172" s="13">
        <f>AD172+AE172+AF172+AG172</f>
        <v>1533.7</v>
      </c>
      <c r="AD172" s="13"/>
      <c r="AE172" s="13"/>
      <c r="AF172" s="13"/>
      <c r="AG172" s="13">
        <v>1533.7</v>
      </c>
      <c r="AH172" s="13">
        <f>AI172+AJ172+AL172</f>
        <v>1533.7</v>
      </c>
      <c r="AI172" s="13"/>
      <c r="AJ172" s="13"/>
      <c r="AK172" s="13"/>
      <c r="AL172" s="13">
        <v>1533.7</v>
      </c>
      <c r="AM172" s="13">
        <f>AN172+AO172+AQ172</f>
        <v>1533.7</v>
      </c>
      <c r="AN172" s="13"/>
      <c r="AO172" s="13"/>
      <c r="AP172" s="13"/>
      <c r="AQ172" s="13">
        <v>1533.7</v>
      </c>
    </row>
    <row r="173" spans="1:43" ht="35.1" customHeight="1" thickBot="1">
      <c r="A173" s="14"/>
      <c r="B173" s="22"/>
      <c r="C173" s="26"/>
      <c r="D173" s="26"/>
      <c r="E173" s="26"/>
      <c r="F173" s="26"/>
      <c r="G173" s="26"/>
      <c r="H173" s="26"/>
      <c r="I173" s="26"/>
      <c r="J173" s="26"/>
      <c r="K173" s="26"/>
      <c r="L173" s="13"/>
      <c r="M173" s="24" t="s">
        <v>291</v>
      </c>
      <c r="N173" s="13">
        <f>P173+R173+T173+V173</f>
        <v>5</v>
      </c>
      <c r="O173" s="13">
        <f t="shared" si="86"/>
        <v>4.3</v>
      </c>
      <c r="P173" s="13"/>
      <c r="Q173" s="13"/>
      <c r="R173" s="13"/>
      <c r="S173" s="13"/>
      <c r="T173" s="13"/>
      <c r="U173" s="13"/>
      <c r="V173" s="13">
        <v>5</v>
      </c>
      <c r="W173" s="13">
        <v>4.3</v>
      </c>
      <c r="X173" s="13">
        <f>Y173+Z173+AA173+AB173</f>
        <v>15</v>
      </c>
      <c r="Y173" s="13"/>
      <c r="Z173" s="13"/>
      <c r="AA173" s="13"/>
      <c r="AB173" s="13">
        <v>15</v>
      </c>
      <c r="AC173" s="13">
        <f>AD173+AE173+AF173+AG173</f>
        <v>15</v>
      </c>
      <c r="AD173" s="13"/>
      <c r="AE173" s="13"/>
      <c r="AF173" s="13"/>
      <c r="AG173" s="13">
        <v>15</v>
      </c>
      <c r="AH173" s="13">
        <f>AI173+AJ173+AL173</f>
        <v>15</v>
      </c>
      <c r="AI173" s="13"/>
      <c r="AJ173" s="13"/>
      <c r="AK173" s="13"/>
      <c r="AL173" s="13">
        <v>15</v>
      </c>
      <c r="AM173" s="13">
        <f>AN173+AO173+AQ173</f>
        <v>15</v>
      </c>
      <c r="AN173" s="13"/>
      <c r="AO173" s="13"/>
      <c r="AP173" s="13"/>
      <c r="AQ173" s="13">
        <v>15</v>
      </c>
    </row>
    <row r="174" spans="1:43" ht="35.1" customHeight="1" thickBot="1">
      <c r="A174" s="17" t="s">
        <v>292</v>
      </c>
      <c r="B174" s="64">
        <v>2534</v>
      </c>
      <c r="C174" s="19"/>
      <c r="D174" s="20"/>
      <c r="E174" s="20"/>
      <c r="F174" s="20"/>
      <c r="G174" s="20"/>
      <c r="H174" s="20"/>
      <c r="I174" s="20"/>
      <c r="J174" s="20"/>
      <c r="K174" s="20"/>
      <c r="L174" s="20">
        <v>11</v>
      </c>
      <c r="M174" s="75"/>
      <c r="N174" s="20">
        <f>N175+N176+N177+N178+N179+N184+N185+N186+N187+N182+N183+N181+N188+N180</f>
        <v>104950.30000000002</v>
      </c>
      <c r="O174" s="20">
        <f t="shared" ref="O174:AQ174" si="91">O175+O176+O177+O178+O179+O184+O185+O186+O187+O182+O183+O181+O188+O180</f>
        <v>102398.90000000001</v>
      </c>
      <c r="P174" s="20">
        <f t="shared" si="91"/>
        <v>0</v>
      </c>
      <c r="Q174" s="20">
        <f t="shared" si="91"/>
        <v>0</v>
      </c>
      <c r="R174" s="20">
        <f t="shared" si="91"/>
        <v>18202.7</v>
      </c>
      <c r="S174" s="20">
        <f t="shared" si="91"/>
        <v>17535.599999999999</v>
      </c>
      <c r="T174" s="20">
        <f t="shared" si="91"/>
        <v>0</v>
      </c>
      <c r="U174" s="20">
        <f t="shared" si="91"/>
        <v>0</v>
      </c>
      <c r="V174" s="20">
        <f t="shared" si="91"/>
        <v>86747.6</v>
      </c>
      <c r="W174" s="20">
        <f t="shared" si="91"/>
        <v>84863.3</v>
      </c>
      <c r="X174" s="20">
        <f t="shared" si="91"/>
        <v>76299.700000000012</v>
      </c>
      <c r="Y174" s="20">
        <f t="shared" si="91"/>
        <v>0</v>
      </c>
      <c r="Z174" s="20">
        <f t="shared" si="91"/>
        <v>0</v>
      </c>
      <c r="AA174" s="20">
        <f t="shared" si="91"/>
        <v>0</v>
      </c>
      <c r="AB174" s="20">
        <f t="shared" si="91"/>
        <v>76299.700000000012</v>
      </c>
      <c r="AC174" s="20">
        <f t="shared" si="91"/>
        <v>76299.700000000012</v>
      </c>
      <c r="AD174" s="20">
        <f t="shared" si="91"/>
        <v>0</v>
      </c>
      <c r="AE174" s="20">
        <f t="shared" si="91"/>
        <v>0</v>
      </c>
      <c r="AF174" s="20">
        <f t="shared" si="91"/>
        <v>0</v>
      </c>
      <c r="AG174" s="20">
        <f t="shared" si="91"/>
        <v>76299.700000000012</v>
      </c>
      <c r="AH174" s="20">
        <f t="shared" si="91"/>
        <v>76299.700000000012</v>
      </c>
      <c r="AI174" s="20">
        <f t="shared" si="91"/>
        <v>0</v>
      </c>
      <c r="AJ174" s="20">
        <f t="shared" si="91"/>
        <v>0</v>
      </c>
      <c r="AK174" s="20">
        <f t="shared" si="91"/>
        <v>0</v>
      </c>
      <c r="AL174" s="20">
        <f t="shared" si="91"/>
        <v>76299.700000000012</v>
      </c>
      <c r="AM174" s="20">
        <f t="shared" si="91"/>
        <v>76299.700000000012</v>
      </c>
      <c r="AN174" s="20">
        <f t="shared" si="91"/>
        <v>0</v>
      </c>
      <c r="AO174" s="20">
        <f t="shared" si="91"/>
        <v>0</v>
      </c>
      <c r="AP174" s="20">
        <f t="shared" si="91"/>
        <v>0</v>
      </c>
      <c r="AQ174" s="20">
        <f t="shared" si="91"/>
        <v>76299.700000000012</v>
      </c>
    </row>
    <row r="175" spans="1:43" ht="35.1" customHeight="1" thickBot="1">
      <c r="A175" s="14"/>
      <c r="B175" s="22"/>
      <c r="C175" s="228" t="s">
        <v>293</v>
      </c>
      <c r="D175" s="228" t="s">
        <v>294</v>
      </c>
      <c r="E175" s="228" t="s">
        <v>295</v>
      </c>
      <c r="F175" s="207" t="s">
        <v>146</v>
      </c>
      <c r="G175" s="213" t="s">
        <v>147</v>
      </c>
      <c r="H175" s="213" t="s">
        <v>148</v>
      </c>
      <c r="I175" s="71" t="s">
        <v>721</v>
      </c>
      <c r="J175" s="45" t="s">
        <v>726</v>
      </c>
      <c r="K175" s="179" t="s">
        <v>717</v>
      </c>
      <c r="L175" s="228"/>
      <c r="M175" s="228" t="s">
        <v>297</v>
      </c>
      <c r="N175" s="13">
        <f t="shared" ref="N175:O180" si="92">P175+R175+T175+V175</f>
        <v>9632.2000000000025</v>
      </c>
      <c r="O175" s="13">
        <f t="shared" si="92"/>
        <v>8897.6</v>
      </c>
      <c r="P175" s="13"/>
      <c r="Q175" s="13"/>
      <c r="R175" s="13"/>
      <c r="S175" s="13"/>
      <c r="T175" s="13"/>
      <c r="U175" s="13"/>
      <c r="V175" s="13">
        <f>8045.1+280.5+30.6-1.9+1059.2+35+72.1+183.7-72.1</f>
        <v>9632.2000000000025</v>
      </c>
      <c r="W175" s="13">
        <v>8897.6</v>
      </c>
      <c r="X175" s="13">
        <f t="shared" ref="X175:X178" si="93">Y175+Z175+AA175+AB175</f>
        <v>8186.9</v>
      </c>
      <c r="Y175" s="13"/>
      <c r="Z175" s="13"/>
      <c r="AA175" s="13"/>
      <c r="AB175" s="13">
        <v>8186.9</v>
      </c>
      <c r="AC175" s="13">
        <f t="shared" ref="AC175:AC178" si="94">AD175+AE175+AF175+AG175</f>
        <v>8186.9</v>
      </c>
      <c r="AD175" s="13"/>
      <c r="AE175" s="13"/>
      <c r="AF175" s="13"/>
      <c r="AG175" s="13">
        <v>8186.9</v>
      </c>
      <c r="AH175" s="13">
        <f t="shared" ref="AH175:AH179" si="95">AI175+AJ175+AK175+AL175</f>
        <v>8186.9</v>
      </c>
      <c r="AI175" s="13"/>
      <c r="AJ175" s="13"/>
      <c r="AK175" s="13"/>
      <c r="AL175" s="13">
        <v>8186.9</v>
      </c>
      <c r="AM175" s="13">
        <f t="shared" ref="AM175:AM178" si="96">AN175+AO175+AP175+AQ175</f>
        <v>8186.9</v>
      </c>
      <c r="AN175" s="13"/>
      <c r="AO175" s="13"/>
      <c r="AP175" s="13"/>
      <c r="AQ175" s="13">
        <v>8186.9</v>
      </c>
    </row>
    <row r="176" spans="1:43" ht="35.1" customHeight="1" thickBot="1">
      <c r="A176" s="14"/>
      <c r="B176" s="22"/>
      <c r="C176" s="228"/>
      <c r="D176" s="228"/>
      <c r="E176" s="228"/>
      <c r="F176" s="228" t="s">
        <v>298</v>
      </c>
      <c r="G176" s="228" t="s">
        <v>147</v>
      </c>
      <c r="H176" s="70" t="s">
        <v>752</v>
      </c>
      <c r="I176" s="23" t="s">
        <v>728</v>
      </c>
      <c r="J176" s="228" t="s">
        <v>147</v>
      </c>
      <c r="K176" s="76" t="s">
        <v>753</v>
      </c>
      <c r="L176" s="228"/>
      <c r="M176" s="228" t="s">
        <v>299</v>
      </c>
      <c r="N176" s="13">
        <f t="shared" si="92"/>
        <v>1525.2</v>
      </c>
      <c r="O176" s="13">
        <f t="shared" si="92"/>
        <v>1520.7</v>
      </c>
      <c r="P176" s="13"/>
      <c r="Q176" s="13"/>
      <c r="R176" s="13"/>
      <c r="S176" s="13"/>
      <c r="T176" s="13"/>
      <c r="U176" s="13"/>
      <c r="V176" s="13">
        <f>111+354.3+169+700.1+150+40.8</f>
        <v>1525.2</v>
      </c>
      <c r="W176" s="13">
        <v>1520.7</v>
      </c>
      <c r="X176" s="13">
        <f t="shared" si="93"/>
        <v>0</v>
      </c>
      <c r="Y176" s="13"/>
      <c r="Z176" s="13"/>
      <c r="AA176" s="13"/>
      <c r="AB176" s="13">
        <v>0</v>
      </c>
      <c r="AC176" s="13">
        <f t="shared" si="94"/>
        <v>0</v>
      </c>
      <c r="AD176" s="13"/>
      <c r="AE176" s="13"/>
      <c r="AF176" s="13"/>
      <c r="AG176" s="13">
        <v>0</v>
      </c>
      <c r="AH176" s="13">
        <f t="shared" si="95"/>
        <v>0</v>
      </c>
      <c r="AI176" s="13"/>
      <c r="AJ176" s="13"/>
      <c r="AK176" s="13"/>
      <c r="AL176" s="13">
        <v>0</v>
      </c>
      <c r="AM176" s="13">
        <f t="shared" si="96"/>
        <v>0</v>
      </c>
      <c r="AN176" s="13"/>
      <c r="AO176" s="13"/>
      <c r="AP176" s="13"/>
      <c r="AQ176" s="13">
        <v>0</v>
      </c>
    </row>
    <row r="177" spans="1:43" ht="35.1" customHeight="1" thickBot="1">
      <c r="A177" s="14"/>
      <c r="B177" s="22"/>
      <c r="C177" s="228"/>
      <c r="D177" s="228"/>
      <c r="E177" s="228"/>
      <c r="F177" s="228" t="s">
        <v>300</v>
      </c>
      <c r="G177" s="228" t="s">
        <v>147</v>
      </c>
      <c r="H177" s="263" t="s">
        <v>754</v>
      </c>
      <c r="I177" s="181" t="s">
        <v>727</v>
      </c>
      <c r="J177" s="228" t="s">
        <v>147</v>
      </c>
      <c r="K177" s="181" t="s">
        <v>301</v>
      </c>
      <c r="L177" s="228"/>
      <c r="M177" s="24" t="s">
        <v>303</v>
      </c>
      <c r="N177" s="13">
        <f t="shared" si="92"/>
        <v>839.7</v>
      </c>
      <c r="O177" s="13">
        <f t="shared" si="92"/>
        <v>839.6</v>
      </c>
      <c r="P177" s="13"/>
      <c r="Q177" s="13"/>
      <c r="R177" s="13"/>
      <c r="S177" s="13"/>
      <c r="T177" s="13"/>
      <c r="U177" s="13"/>
      <c r="V177" s="13">
        <f>779.7+60</f>
        <v>839.7</v>
      </c>
      <c r="W177" s="13">
        <v>839.6</v>
      </c>
      <c r="X177" s="13">
        <f t="shared" si="93"/>
        <v>859.6</v>
      </c>
      <c r="Y177" s="13"/>
      <c r="Z177" s="13"/>
      <c r="AA177" s="13"/>
      <c r="AB177" s="13">
        <v>859.6</v>
      </c>
      <c r="AC177" s="13">
        <f t="shared" si="94"/>
        <v>859.6</v>
      </c>
      <c r="AD177" s="13"/>
      <c r="AE177" s="13"/>
      <c r="AF177" s="13"/>
      <c r="AG177" s="13">
        <v>859.6</v>
      </c>
      <c r="AH177" s="13">
        <f t="shared" si="95"/>
        <v>859.6</v>
      </c>
      <c r="AI177" s="13"/>
      <c r="AJ177" s="13"/>
      <c r="AK177" s="13"/>
      <c r="AL177" s="13">
        <v>859.6</v>
      </c>
      <c r="AM177" s="13">
        <f t="shared" si="96"/>
        <v>859.6</v>
      </c>
      <c r="AN177" s="13"/>
      <c r="AO177" s="13"/>
      <c r="AP177" s="13"/>
      <c r="AQ177" s="13">
        <v>859.6</v>
      </c>
    </row>
    <row r="178" spans="1:43" ht="35.1" customHeight="1" thickBot="1">
      <c r="A178" s="14"/>
      <c r="B178" s="22"/>
      <c r="C178" s="228"/>
      <c r="D178" s="228"/>
      <c r="E178" s="228"/>
      <c r="F178" s="26"/>
      <c r="G178" s="228"/>
      <c r="H178" s="228"/>
      <c r="I178" s="228"/>
      <c r="J178" s="228"/>
      <c r="K178" s="7"/>
      <c r="L178" s="228"/>
      <c r="M178" s="24" t="s">
        <v>304</v>
      </c>
      <c r="N178" s="13">
        <f t="shared" si="92"/>
        <v>3306.1000000000008</v>
      </c>
      <c r="O178" s="13">
        <f t="shared" si="92"/>
        <v>2489.9</v>
      </c>
      <c r="P178" s="13"/>
      <c r="Q178" s="13"/>
      <c r="R178" s="13"/>
      <c r="S178" s="13"/>
      <c r="T178" s="13"/>
      <c r="U178" s="13"/>
      <c r="V178" s="13">
        <f>5785.1-1059.2-0.2-1419.6</f>
        <v>3306.1000000000008</v>
      </c>
      <c r="W178" s="13">
        <v>2489.9</v>
      </c>
      <c r="X178" s="13">
        <f t="shared" si="93"/>
        <v>3815</v>
      </c>
      <c r="Y178" s="13"/>
      <c r="Z178" s="13"/>
      <c r="AA178" s="13"/>
      <c r="AB178" s="13">
        <v>3815</v>
      </c>
      <c r="AC178" s="13">
        <f t="shared" si="94"/>
        <v>3815</v>
      </c>
      <c r="AD178" s="13"/>
      <c r="AE178" s="13"/>
      <c r="AF178" s="13"/>
      <c r="AG178" s="13">
        <v>3815</v>
      </c>
      <c r="AH178" s="13">
        <f t="shared" si="95"/>
        <v>3815</v>
      </c>
      <c r="AI178" s="13"/>
      <c r="AJ178" s="13"/>
      <c r="AK178" s="13"/>
      <c r="AL178" s="13">
        <v>3815</v>
      </c>
      <c r="AM178" s="13">
        <f t="shared" si="96"/>
        <v>3815</v>
      </c>
      <c r="AN178" s="13"/>
      <c r="AO178" s="13"/>
      <c r="AP178" s="13"/>
      <c r="AQ178" s="13">
        <v>3815</v>
      </c>
    </row>
    <row r="179" spans="1:43" ht="35.1" customHeight="1" thickBot="1">
      <c r="A179" s="14"/>
      <c r="B179" s="22"/>
      <c r="C179" s="228"/>
      <c r="D179" s="228"/>
      <c r="E179" s="228"/>
      <c r="F179" s="26"/>
      <c r="G179" s="228"/>
      <c r="H179" s="228"/>
      <c r="I179" s="228" t="s">
        <v>302</v>
      </c>
      <c r="J179" s="228" t="s">
        <v>147</v>
      </c>
      <c r="K179" s="7" t="s">
        <v>755</v>
      </c>
      <c r="L179" s="228"/>
      <c r="M179" s="24" t="s">
        <v>305</v>
      </c>
      <c r="N179" s="13">
        <f t="shared" ref="N179:O183" si="97">P179+R179+T179+V179</f>
        <v>39739.4</v>
      </c>
      <c r="O179" s="13">
        <f t="shared" si="92"/>
        <v>39610.800000000003</v>
      </c>
      <c r="P179" s="13"/>
      <c r="Q179" s="13"/>
      <c r="R179" s="13"/>
      <c r="S179" s="13"/>
      <c r="T179" s="13"/>
      <c r="U179" s="13"/>
      <c r="V179" s="13">
        <f>34090.6+4536.5-872.1+680.4+1664-360</f>
        <v>39739.4</v>
      </c>
      <c r="W179" s="13">
        <v>39610.800000000003</v>
      </c>
      <c r="X179" s="13">
        <f>Y179+Z179+AA179+AB179</f>
        <v>40781.199999999997</v>
      </c>
      <c r="Y179" s="13"/>
      <c r="Z179" s="13"/>
      <c r="AA179" s="13"/>
      <c r="AB179" s="13">
        <v>40781.199999999997</v>
      </c>
      <c r="AC179" s="13">
        <f>AD179+AE179+AF179+AG179</f>
        <v>40781.199999999997</v>
      </c>
      <c r="AD179" s="13"/>
      <c r="AE179" s="13"/>
      <c r="AF179" s="13"/>
      <c r="AG179" s="13">
        <v>40781.199999999997</v>
      </c>
      <c r="AH179" s="13">
        <f t="shared" si="95"/>
        <v>40781.199999999997</v>
      </c>
      <c r="AI179" s="13"/>
      <c r="AJ179" s="13"/>
      <c r="AK179" s="13"/>
      <c r="AL179" s="13">
        <v>40781.199999999997</v>
      </c>
      <c r="AM179" s="13">
        <f>AN179+AO179+AP179+AQ179</f>
        <v>40781.199999999997</v>
      </c>
      <c r="AN179" s="13"/>
      <c r="AO179" s="13"/>
      <c r="AP179" s="13"/>
      <c r="AQ179" s="13">
        <v>40781.199999999997</v>
      </c>
    </row>
    <row r="180" spans="1:43" ht="35.1" customHeight="1" thickBot="1">
      <c r="A180" s="14"/>
      <c r="B180" s="22"/>
      <c r="C180" s="228"/>
      <c r="D180" s="228"/>
      <c r="E180" s="228"/>
      <c r="F180" s="26"/>
      <c r="G180" s="228"/>
      <c r="H180" s="228"/>
      <c r="I180" s="228"/>
      <c r="J180" s="228"/>
      <c r="K180" s="7"/>
      <c r="L180" s="228"/>
      <c r="M180" s="24" t="s">
        <v>306</v>
      </c>
      <c r="N180" s="13">
        <f t="shared" si="97"/>
        <v>500</v>
      </c>
      <c r="O180" s="13">
        <f t="shared" si="92"/>
        <v>500</v>
      </c>
      <c r="P180" s="13"/>
      <c r="Q180" s="13"/>
      <c r="R180" s="13"/>
      <c r="S180" s="13"/>
      <c r="T180" s="13"/>
      <c r="U180" s="13"/>
      <c r="V180" s="13">
        <v>500</v>
      </c>
      <c r="W180" s="13">
        <v>500</v>
      </c>
      <c r="X180" s="13">
        <f>Y180+Z180+AA180+AB180</f>
        <v>0</v>
      </c>
      <c r="Y180" s="13"/>
      <c r="Z180" s="13"/>
      <c r="AA180" s="13"/>
      <c r="AB180" s="13">
        <v>0</v>
      </c>
      <c r="AC180" s="13">
        <v>0</v>
      </c>
      <c r="AD180" s="13"/>
      <c r="AE180" s="13"/>
      <c r="AF180" s="13"/>
      <c r="AG180" s="13">
        <v>0</v>
      </c>
      <c r="AH180" s="13">
        <v>0</v>
      </c>
      <c r="AI180" s="13"/>
      <c r="AJ180" s="13"/>
      <c r="AK180" s="13"/>
      <c r="AL180" s="13">
        <v>0</v>
      </c>
      <c r="AM180" s="13">
        <v>0</v>
      </c>
      <c r="AN180" s="13"/>
      <c r="AO180" s="13"/>
      <c r="AP180" s="13"/>
      <c r="AQ180" s="13">
        <v>0</v>
      </c>
    </row>
    <row r="181" spans="1:43" ht="35.1" customHeight="1" thickBot="1">
      <c r="A181" s="14"/>
      <c r="B181" s="22"/>
      <c r="C181" s="228"/>
      <c r="D181" s="228"/>
      <c r="E181" s="228"/>
      <c r="F181" s="228" t="s">
        <v>307</v>
      </c>
      <c r="G181" s="228" t="s">
        <v>147</v>
      </c>
      <c r="H181" s="77" t="s">
        <v>758</v>
      </c>
      <c r="I181" s="228" t="s">
        <v>924</v>
      </c>
      <c r="J181" s="228" t="s">
        <v>925</v>
      </c>
      <c r="K181" s="7" t="s">
        <v>926</v>
      </c>
      <c r="L181" s="228"/>
      <c r="M181" s="24" t="s">
        <v>308</v>
      </c>
      <c r="N181" s="13">
        <f t="shared" si="97"/>
        <v>18919.5</v>
      </c>
      <c r="O181" s="13">
        <f t="shared" si="97"/>
        <v>18919.5</v>
      </c>
      <c r="P181" s="13"/>
      <c r="Q181" s="13"/>
      <c r="R181" s="13">
        <v>10000</v>
      </c>
      <c r="S181" s="13">
        <v>10000</v>
      </c>
      <c r="T181" s="13"/>
      <c r="U181" s="13"/>
      <c r="V181" s="13">
        <v>8919.5</v>
      </c>
      <c r="W181" s="13">
        <v>8919.5</v>
      </c>
      <c r="X181" s="13">
        <f t="shared" ref="X181:X183" si="98">Y181+Z181+AA181+AB181</f>
        <v>0</v>
      </c>
      <c r="Y181" s="13"/>
      <c r="Z181" s="13"/>
      <c r="AA181" s="13"/>
      <c r="AB181" s="13"/>
      <c r="AC181" s="13">
        <v>0</v>
      </c>
      <c r="AD181" s="13"/>
      <c r="AE181" s="13"/>
      <c r="AF181" s="13"/>
      <c r="AG181" s="13">
        <v>0</v>
      </c>
      <c r="AH181" s="13">
        <v>0</v>
      </c>
      <c r="AI181" s="13"/>
      <c r="AJ181" s="13"/>
      <c r="AK181" s="13"/>
      <c r="AL181" s="13">
        <v>0</v>
      </c>
      <c r="AM181" s="13">
        <v>0</v>
      </c>
      <c r="AN181" s="13"/>
      <c r="AO181" s="13"/>
      <c r="AP181" s="13"/>
      <c r="AQ181" s="13">
        <v>0</v>
      </c>
    </row>
    <row r="182" spans="1:43" ht="35.1" customHeight="1" thickBot="1">
      <c r="A182" s="14"/>
      <c r="B182" s="22"/>
      <c r="F182" s="228" t="s">
        <v>756</v>
      </c>
      <c r="G182" s="228" t="s">
        <v>147</v>
      </c>
      <c r="H182" s="67" t="s">
        <v>759</v>
      </c>
      <c r="I182" s="63" t="s">
        <v>927</v>
      </c>
      <c r="J182" s="228" t="s">
        <v>147</v>
      </c>
      <c r="K182" s="63" t="s">
        <v>928</v>
      </c>
      <c r="L182" s="228"/>
      <c r="M182" s="24" t="s">
        <v>309</v>
      </c>
      <c r="N182" s="13">
        <f t="shared" si="97"/>
        <v>656.5</v>
      </c>
      <c r="O182" s="13">
        <f t="shared" si="97"/>
        <v>656.5</v>
      </c>
      <c r="P182" s="13"/>
      <c r="Q182" s="13"/>
      <c r="R182" s="13">
        <v>617.1</v>
      </c>
      <c r="S182" s="13">
        <v>617.1</v>
      </c>
      <c r="T182" s="13"/>
      <c r="U182" s="13"/>
      <c r="V182" s="13">
        <v>39.4</v>
      </c>
      <c r="W182" s="13">
        <v>39.4</v>
      </c>
      <c r="X182" s="13">
        <f t="shared" si="98"/>
        <v>0</v>
      </c>
      <c r="Y182" s="13"/>
      <c r="Z182" s="13"/>
      <c r="AA182" s="13"/>
      <c r="AB182" s="13"/>
      <c r="AC182" s="13">
        <v>0</v>
      </c>
      <c r="AD182" s="13"/>
      <c r="AE182" s="13"/>
      <c r="AF182" s="13"/>
      <c r="AG182" s="13">
        <v>0</v>
      </c>
      <c r="AH182" s="13">
        <v>0</v>
      </c>
      <c r="AI182" s="13"/>
      <c r="AJ182" s="13"/>
      <c r="AK182" s="13"/>
      <c r="AL182" s="13">
        <v>0</v>
      </c>
      <c r="AM182" s="13">
        <v>0</v>
      </c>
      <c r="AN182" s="13"/>
      <c r="AO182" s="13"/>
      <c r="AP182" s="13"/>
      <c r="AQ182" s="13">
        <v>0</v>
      </c>
    </row>
    <row r="183" spans="1:43" ht="35.1" customHeight="1" thickBot="1">
      <c r="A183" s="14"/>
      <c r="B183" s="22"/>
      <c r="F183" s="213"/>
      <c r="G183" s="228"/>
      <c r="H183" s="228"/>
      <c r="I183" s="213" t="s">
        <v>929</v>
      </c>
      <c r="J183" s="213" t="s">
        <v>147</v>
      </c>
      <c r="K183" s="7" t="s">
        <v>928</v>
      </c>
      <c r="L183" s="228"/>
      <c r="M183" s="24" t="s">
        <v>310</v>
      </c>
      <c r="N183" s="13">
        <f t="shared" si="97"/>
        <v>188</v>
      </c>
      <c r="O183" s="13">
        <f t="shared" si="97"/>
        <v>188</v>
      </c>
      <c r="P183" s="13"/>
      <c r="Q183" s="13"/>
      <c r="R183" s="13">
        <v>186.1</v>
      </c>
      <c r="S183" s="13">
        <v>186.1</v>
      </c>
      <c r="T183" s="13"/>
      <c r="U183" s="13"/>
      <c r="V183" s="13">
        <v>1.9</v>
      </c>
      <c r="W183" s="13">
        <v>1.9</v>
      </c>
      <c r="X183" s="13">
        <f t="shared" si="98"/>
        <v>0</v>
      </c>
      <c r="Y183" s="13"/>
      <c r="Z183" s="13"/>
      <c r="AA183" s="13"/>
      <c r="AB183" s="13"/>
      <c r="AC183" s="13">
        <v>0</v>
      </c>
      <c r="AD183" s="13"/>
      <c r="AE183" s="13"/>
      <c r="AF183" s="13"/>
      <c r="AG183" s="13">
        <v>0</v>
      </c>
      <c r="AH183" s="13">
        <v>0</v>
      </c>
      <c r="AI183" s="13"/>
      <c r="AJ183" s="13"/>
      <c r="AK183" s="13"/>
      <c r="AL183" s="13">
        <v>0</v>
      </c>
      <c r="AM183" s="13"/>
      <c r="AN183" s="13"/>
      <c r="AO183" s="13"/>
      <c r="AP183" s="13"/>
      <c r="AQ183" s="13">
        <v>0</v>
      </c>
    </row>
    <row r="184" spans="1:43" ht="35.1" customHeight="1" thickBot="1">
      <c r="A184" s="14"/>
      <c r="B184" s="22"/>
      <c r="C184" s="228"/>
      <c r="D184" s="228"/>
      <c r="E184" s="228"/>
      <c r="F184" s="26"/>
      <c r="G184" s="228"/>
      <c r="H184" s="228"/>
      <c r="I184" s="228"/>
      <c r="J184" s="228"/>
      <c r="K184" s="7"/>
      <c r="L184" s="228"/>
      <c r="M184" s="24" t="s">
        <v>312</v>
      </c>
      <c r="N184" s="13">
        <f t="shared" ref="N184:O188" si="99">P184+R184+T184+V184</f>
        <v>18890.700000000004</v>
      </c>
      <c r="O184" s="13">
        <f t="shared" si="99"/>
        <v>18793.8</v>
      </c>
      <c r="P184" s="13"/>
      <c r="Q184" s="13"/>
      <c r="R184" s="13"/>
      <c r="S184" s="13"/>
      <c r="T184" s="13"/>
      <c r="U184" s="13"/>
      <c r="V184" s="13">
        <f>16620.9+1679.9+589.9</f>
        <v>18890.700000000004</v>
      </c>
      <c r="W184" s="13">
        <v>18793.8</v>
      </c>
      <c r="X184" s="13">
        <f t="shared" ref="X184:X186" si="100">Y184+Z184+AA184+AB184</f>
        <v>19036.8</v>
      </c>
      <c r="Y184" s="13"/>
      <c r="Z184" s="13"/>
      <c r="AA184" s="13"/>
      <c r="AB184" s="13">
        <v>19036.8</v>
      </c>
      <c r="AC184" s="13">
        <f t="shared" ref="AC184:AC186" si="101">AD184+AE184+AF184+AG184</f>
        <v>19036.8</v>
      </c>
      <c r="AD184" s="13"/>
      <c r="AE184" s="13"/>
      <c r="AF184" s="13"/>
      <c r="AG184" s="13">
        <v>19036.8</v>
      </c>
      <c r="AH184" s="13">
        <f t="shared" ref="AH184:AH186" si="102">AI184+AJ184+AK184+AL184</f>
        <v>19036.8</v>
      </c>
      <c r="AI184" s="13"/>
      <c r="AJ184" s="13"/>
      <c r="AK184" s="13"/>
      <c r="AL184" s="13">
        <v>19036.8</v>
      </c>
      <c r="AM184" s="13">
        <f t="shared" ref="AM184:AM186" si="103">AN184+AO184+AP184+AQ184</f>
        <v>19036.8</v>
      </c>
      <c r="AN184" s="13"/>
      <c r="AO184" s="13"/>
      <c r="AP184" s="13"/>
      <c r="AQ184" s="13">
        <v>19036.8</v>
      </c>
    </row>
    <row r="185" spans="1:43" ht="35.1" customHeight="1" thickBot="1">
      <c r="A185" s="14"/>
      <c r="B185" s="22"/>
      <c r="C185" s="228"/>
      <c r="D185" s="228"/>
      <c r="E185" s="228"/>
      <c r="F185" s="26"/>
      <c r="G185" s="228"/>
      <c r="H185" s="228"/>
      <c r="I185" s="228"/>
      <c r="J185" s="228"/>
      <c r="K185" s="7"/>
      <c r="L185" s="228"/>
      <c r="M185" s="24" t="s">
        <v>313</v>
      </c>
      <c r="N185" s="13">
        <f t="shared" si="99"/>
        <v>733.80000000000007</v>
      </c>
      <c r="O185" s="13">
        <f t="shared" si="99"/>
        <v>733.8</v>
      </c>
      <c r="P185" s="13"/>
      <c r="Q185" s="13"/>
      <c r="R185" s="13"/>
      <c r="S185" s="13"/>
      <c r="T185" s="13"/>
      <c r="U185" s="13"/>
      <c r="V185" s="13">
        <f>597.7+72.1+64</f>
        <v>733.80000000000007</v>
      </c>
      <c r="W185" s="13">
        <v>733.8</v>
      </c>
      <c r="X185" s="13">
        <f t="shared" si="100"/>
        <v>255.6</v>
      </c>
      <c r="Y185" s="13"/>
      <c r="Z185" s="13"/>
      <c r="AA185" s="13"/>
      <c r="AB185" s="13">
        <v>255.6</v>
      </c>
      <c r="AC185" s="13">
        <f t="shared" si="101"/>
        <v>255.6</v>
      </c>
      <c r="AD185" s="13"/>
      <c r="AE185" s="13"/>
      <c r="AF185" s="13"/>
      <c r="AG185" s="13">
        <v>255.6</v>
      </c>
      <c r="AH185" s="13">
        <f t="shared" si="102"/>
        <v>255.6</v>
      </c>
      <c r="AI185" s="13"/>
      <c r="AJ185" s="13"/>
      <c r="AK185" s="13"/>
      <c r="AL185" s="13">
        <v>255.6</v>
      </c>
      <c r="AM185" s="13">
        <f t="shared" si="103"/>
        <v>255.6</v>
      </c>
      <c r="AN185" s="13"/>
      <c r="AO185" s="13"/>
      <c r="AP185" s="13"/>
      <c r="AQ185" s="13">
        <v>255.6</v>
      </c>
    </row>
    <row r="186" spans="1:43" ht="35.1" customHeight="1" thickBot="1">
      <c r="A186" s="14"/>
      <c r="B186" s="22"/>
      <c r="C186" s="228"/>
      <c r="D186" s="228"/>
      <c r="E186" s="228"/>
      <c r="F186" s="26"/>
      <c r="G186" s="228"/>
      <c r="H186" s="228"/>
      <c r="I186" s="228"/>
      <c r="J186" s="228"/>
      <c r="K186" s="7"/>
      <c r="L186" s="228"/>
      <c r="M186" s="24" t="s">
        <v>314</v>
      </c>
      <c r="N186" s="13">
        <f t="shared" si="99"/>
        <v>2381.1999999999998</v>
      </c>
      <c r="O186" s="13">
        <f t="shared" si="99"/>
        <v>2381.1999999999998</v>
      </c>
      <c r="P186" s="13"/>
      <c r="Q186" s="13"/>
      <c r="R186" s="13"/>
      <c r="S186" s="13"/>
      <c r="T186" s="13"/>
      <c r="U186" s="13"/>
      <c r="V186" s="13">
        <f>2902.1-1.9-519</f>
        <v>2381.1999999999998</v>
      </c>
      <c r="W186" s="13">
        <v>2381.1999999999998</v>
      </c>
      <c r="X186" s="13">
        <f t="shared" si="100"/>
        <v>3364.6</v>
      </c>
      <c r="Y186" s="13"/>
      <c r="Z186" s="13"/>
      <c r="AA186" s="13"/>
      <c r="AB186" s="13">
        <v>3364.6</v>
      </c>
      <c r="AC186" s="13">
        <f t="shared" si="101"/>
        <v>3364.6</v>
      </c>
      <c r="AD186" s="13"/>
      <c r="AE186" s="13"/>
      <c r="AF186" s="13"/>
      <c r="AG186" s="13">
        <v>3364.6</v>
      </c>
      <c r="AH186" s="13">
        <f t="shared" si="102"/>
        <v>3364.6</v>
      </c>
      <c r="AI186" s="13"/>
      <c r="AJ186" s="13"/>
      <c r="AK186" s="13"/>
      <c r="AL186" s="13">
        <v>3364.6</v>
      </c>
      <c r="AM186" s="13">
        <f t="shared" si="103"/>
        <v>3364.6</v>
      </c>
      <c r="AN186" s="13"/>
      <c r="AO186" s="13"/>
      <c r="AP186" s="13"/>
      <c r="AQ186" s="13">
        <v>3364.6</v>
      </c>
    </row>
    <row r="187" spans="1:43" ht="35.1" customHeight="1" thickBot="1">
      <c r="A187" s="14"/>
      <c r="B187" s="22"/>
      <c r="C187" s="228"/>
      <c r="D187" s="228"/>
      <c r="E187" s="228"/>
      <c r="F187" s="70" t="s">
        <v>757</v>
      </c>
      <c r="G187" s="228" t="s">
        <v>147</v>
      </c>
      <c r="H187" s="67" t="s">
        <v>760</v>
      </c>
      <c r="I187" s="228" t="s">
        <v>311</v>
      </c>
      <c r="J187" s="228" t="s">
        <v>147</v>
      </c>
      <c r="K187" s="7" t="s">
        <v>761</v>
      </c>
      <c r="L187" s="16"/>
      <c r="M187" s="24" t="s">
        <v>315</v>
      </c>
      <c r="N187" s="13">
        <f>P187+R187+T187+V187</f>
        <v>6915.4000000000005</v>
      </c>
      <c r="O187" s="13">
        <f t="shared" si="99"/>
        <v>6144.9000000000005</v>
      </c>
      <c r="P187" s="13"/>
      <c r="Q187" s="13"/>
      <c r="R187" s="13">
        <f>6292.1+384.8</f>
        <v>6676.9000000000005</v>
      </c>
      <c r="S187" s="13">
        <v>6009.8</v>
      </c>
      <c r="T187" s="13"/>
      <c r="U187" s="13"/>
      <c r="V187" s="13">
        <f>1050+38.6-850.1</f>
        <v>238.49999999999989</v>
      </c>
      <c r="W187" s="13">
        <v>135.1</v>
      </c>
      <c r="X187" s="13">
        <f>Y187+Z187+AA187+AB187</f>
        <v>0</v>
      </c>
      <c r="Y187" s="13"/>
      <c r="Z187" s="13"/>
      <c r="AA187" s="13"/>
      <c r="AB187" s="13"/>
      <c r="AC187" s="13">
        <f>AD187+AE187+AF187+AG187</f>
        <v>0</v>
      </c>
      <c r="AD187" s="13"/>
      <c r="AE187" s="13"/>
      <c r="AF187" s="13"/>
      <c r="AG187" s="13">
        <v>0</v>
      </c>
      <c r="AH187" s="13">
        <v>0</v>
      </c>
      <c r="AI187" s="13"/>
      <c r="AJ187" s="13"/>
      <c r="AK187" s="13"/>
      <c r="AL187" s="13">
        <v>0</v>
      </c>
      <c r="AM187" s="13">
        <v>0</v>
      </c>
      <c r="AN187" s="13"/>
      <c r="AO187" s="13"/>
      <c r="AP187" s="13"/>
      <c r="AQ187" s="13">
        <v>0</v>
      </c>
    </row>
    <row r="188" spans="1:43" ht="35.1" customHeight="1" thickBot="1">
      <c r="A188" s="14"/>
      <c r="B188" s="22"/>
      <c r="C188" s="78"/>
      <c r="D188" s="79"/>
      <c r="E188" s="78"/>
      <c r="F188" s="80"/>
      <c r="G188" s="78"/>
      <c r="H188" s="81"/>
      <c r="I188" s="45" t="s">
        <v>930</v>
      </c>
      <c r="J188" s="16" t="s">
        <v>147</v>
      </c>
      <c r="K188" s="228" t="s">
        <v>931</v>
      </c>
      <c r="L188" s="16"/>
      <c r="M188" s="24" t="s">
        <v>316</v>
      </c>
      <c r="N188" s="13">
        <f>P188+R188+T188+V188</f>
        <v>722.6</v>
      </c>
      <c r="O188" s="13">
        <f t="shared" si="99"/>
        <v>722.6</v>
      </c>
      <c r="P188" s="13"/>
      <c r="Q188" s="13"/>
      <c r="R188" s="13">
        <v>722.6</v>
      </c>
      <c r="S188" s="13">
        <v>722.6</v>
      </c>
      <c r="T188" s="13"/>
      <c r="U188" s="13"/>
      <c r="V188" s="13"/>
      <c r="W188" s="13"/>
      <c r="X188" s="13">
        <f>Y188+Z188+AA188+AB188</f>
        <v>0</v>
      </c>
      <c r="Y188" s="13"/>
      <c r="Z188" s="13"/>
      <c r="AA188" s="13"/>
      <c r="AB188" s="13"/>
      <c r="AC188" s="13">
        <f>AD188+AE188+AF188+AG188</f>
        <v>0</v>
      </c>
      <c r="AD188" s="13"/>
      <c r="AE188" s="13"/>
      <c r="AF188" s="13"/>
      <c r="AG188" s="13">
        <v>0</v>
      </c>
      <c r="AH188" s="13">
        <v>0</v>
      </c>
      <c r="AI188" s="13"/>
      <c r="AJ188" s="13"/>
      <c r="AK188" s="13"/>
      <c r="AL188" s="13">
        <v>0</v>
      </c>
      <c r="AM188" s="13">
        <v>0</v>
      </c>
      <c r="AN188" s="13"/>
      <c r="AO188" s="13"/>
      <c r="AP188" s="13"/>
      <c r="AQ188" s="13">
        <v>0</v>
      </c>
    </row>
    <row r="189" spans="1:43" ht="35.1" customHeight="1" thickBot="1">
      <c r="A189" s="17" t="s">
        <v>317</v>
      </c>
      <c r="B189" s="64">
        <v>2535</v>
      </c>
      <c r="C189" s="19"/>
      <c r="D189" s="20"/>
      <c r="E189" s="20"/>
      <c r="F189" s="20"/>
      <c r="G189" s="20"/>
      <c r="H189" s="20"/>
      <c r="I189" s="20"/>
      <c r="J189" s="20"/>
      <c r="K189" s="20"/>
      <c r="L189" s="20">
        <v>11</v>
      </c>
      <c r="M189" s="75"/>
      <c r="N189" s="20">
        <f>N190+N191</f>
        <v>2106</v>
      </c>
      <c r="O189" s="20">
        <f t="shared" ref="O189:AQ189" si="104">O190+O191</f>
        <v>2021.2</v>
      </c>
      <c r="P189" s="20">
        <f t="shared" si="104"/>
        <v>0</v>
      </c>
      <c r="Q189" s="20">
        <f t="shared" si="104"/>
        <v>0</v>
      </c>
      <c r="R189" s="20">
        <f t="shared" si="104"/>
        <v>0</v>
      </c>
      <c r="S189" s="20">
        <f t="shared" si="104"/>
        <v>0</v>
      </c>
      <c r="T189" s="20">
        <f t="shared" si="104"/>
        <v>0</v>
      </c>
      <c r="U189" s="20">
        <f t="shared" si="104"/>
        <v>0</v>
      </c>
      <c r="V189" s="20">
        <f t="shared" si="104"/>
        <v>2106</v>
      </c>
      <c r="W189" s="20">
        <f t="shared" si="104"/>
        <v>2021.2</v>
      </c>
      <c r="X189" s="20">
        <f t="shared" si="104"/>
        <v>1586.7</v>
      </c>
      <c r="Y189" s="20">
        <f t="shared" si="104"/>
        <v>0</v>
      </c>
      <c r="Z189" s="20">
        <f t="shared" si="104"/>
        <v>0</v>
      </c>
      <c r="AA189" s="20">
        <f t="shared" si="104"/>
        <v>0</v>
      </c>
      <c r="AB189" s="20">
        <f t="shared" si="104"/>
        <v>1586.7</v>
      </c>
      <c r="AC189" s="20">
        <f t="shared" si="104"/>
        <v>1586.7</v>
      </c>
      <c r="AD189" s="20">
        <f t="shared" si="104"/>
        <v>0</v>
      </c>
      <c r="AE189" s="20">
        <f t="shared" si="104"/>
        <v>0</v>
      </c>
      <c r="AF189" s="20">
        <f t="shared" si="104"/>
        <v>0</v>
      </c>
      <c r="AG189" s="20">
        <f t="shared" si="104"/>
        <v>1586.7</v>
      </c>
      <c r="AH189" s="20">
        <f t="shared" si="104"/>
        <v>1586.7</v>
      </c>
      <c r="AI189" s="20">
        <f t="shared" si="104"/>
        <v>0</v>
      </c>
      <c r="AJ189" s="20">
        <f t="shared" si="104"/>
        <v>0</v>
      </c>
      <c r="AK189" s="20">
        <f t="shared" si="104"/>
        <v>0</v>
      </c>
      <c r="AL189" s="20">
        <f t="shared" si="104"/>
        <v>1586.7</v>
      </c>
      <c r="AM189" s="20">
        <f t="shared" si="104"/>
        <v>1586.7</v>
      </c>
      <c r="AN189" s="20">
        <f t="shared" si="104"/>
        <v>0</v>
      </c>
      <c r="AO189" s="20">
        <f t="shared" si="104"/>
        <v>0</v>
      </c>
      <c r="AP189" s="20">
        <f t="shared" si="104"/>
        <v>0</v>
      </c>
      <c r="AQ189" s="20">
        <f t="shared" si="104"/>
        <v>1586.7</v>
      </c>
    </row>
    <row r="190" spans="1:43" ht="35.1" customHeight="1" thickBot="1">
      <c r="A190" s="14"/>
      <c r="B190" s="22"/>
      <c r="C190" s="228" t="s">
        <v>293</v>
      </c>
      <c r="D190" s="228" t="s">
        <v>318</v>
      </c>
      <c r="E190" s="228" t="s">
        <v>319</v>
      </c>
      <c r="F190" s="228" t="s">
        <v>320</v>
      </c>
      <c r="G190" s="228" t="s">
        <v>147</v>
      </c>
      <c r="H190" s="228" t="s">
        <v>148</v>
      </c>
      <c r="I190" s="23" t="s">
        <v>728</v>
      </c>
      <c r="J190" s="228" t="s">
        <v>147</v>
      </c>
      <c r="K190" s="179" t="s">
        <v>753</v>
      </c>
      <c r="L190" s="13"/>
      <c r="M190" s="24" t="s">
        <v>321</v>
      </c>
      <c r="N190" s="13">
        <f>P190+R190+T190+V190</f>
        <v>0</v>
      </c>
      <c r="O190" s="13">
        <f>Q190+S190+U190+W190</f>
        <v>0</v>
      </c>
      <c r="P190" s="13"/>
      <c r="Q190" s="13"/>
      <c r="R190" s="13"/>
      <c r="S190" s="13"/>
      <c r="T190" s="13"/>
      <c r="U190" s="13"/>
      <c r="V190" s="13"/>
      <c r="W190" s="13"/>
      <c r="X190" s="13">
        <f>Y190+Z190+AA190+AB190</f>
        <v>0</v>
      </c>
      <c r="Y190" s="13"/>
      <c r="Z190" s="13"/>
      <c r="AA190" s="13"/>
      <c r="AB190" s="13"/>
      <c r="AC190" s="13">
        <f>AD190+AE190+AF190+AG190</f>
        <v>0</v>
      </c>
      <c r="AD190" s="13"/>
      <c r="AE190" s="13"/>
      <c r="AF190" s="13"/>
      <c r="AG190" s="13"/>
      <c r="AH190" s="13">
        <f>AI190+AJ190+AK190+AL190</f>
        <v>0</v>
      </c>
      <c r="AI190" s="13"/>
      <c r="AJ190" s="13"/>
      <c r="AK190" s="13"/>
      <c r="AL190" s="13"/>
      <c r="AM190" s="13">
        <f>AN190+AO190+AP190+AQ190</f>
        <v>0</v>
      </c>
      <c r="AN190" s="13"/>
      <c r="AO190" s="13"/>
      <c r="AP190" s="13"/>
      <c r="AQ190" s="13"/>
    </row>
    <row r="191" spans="1:43" ht="35.1" customHeight="1" thickBot="1">
      <c r="A191" s="14"/>
      <c r="B191" s="22"/>
      <c r="C191" s="23" t="s">
        <v>322</v>
      </c>
      <c r="D191" s="23" t="s">
        <v>242</v>
      </c>
      <c r="E191" s="23" t="s">
        <v>323</v>
      </c>
      <c r="F191" s="228"/>
      <c r="G191" s="228"/>
      <c r="H191" s="228"/>
      <c r="I191" s="228"/>
      <c r="J191" s="228"/>
      <c r="K191" s="7"/>
      <c r="L191" s="13"/>
      <c r="M191" s="24" t="s">
        <v>324</v>
      </c>
      <c r="N191" s="13">
        <f>P191+R191+T191+V191</f>
        <v>2106</v>
      </c>
      <c r="O191" s="13">
        <f>Q191+S191+U191+W191</f>
        <v>2021.2</v>
      </c>
      <c r="P191" s="13"/>
      <c r="Q191" s="13"/>
      <c r="R191" s="13"/>
      <c r="S191" s="13"/>
      <c r="T191" s="13"/>
      <c r="U191" s="13"/>
      <c r="V191" s="13">
        <v>2106</v>
      </c>
      <c r="W191" s="13">
        <v>2021.2</v>
      </c>
      <c r="X191" s="13">
        <f>Y191+Z191+AA191+AB191</f>
        <v>1586.7</v>
      </c>
      <c r="Y191" s="13"/>
      <c r="Z191" s="13"/>
      <c r="AA191" s="13"/>
      <c r="AB191" s="13">
        <v>1586.7</v>
      </c>
      <c r="AC191" s="13">
        <f>AD191+AE191+AF191+AG191</f>
        <v>1586.7</v>
      </c>
      <c r="AD191" s="13"/>
      <c r="AE191" s="13"/>
      <c r="AF191" s="13"/>
      <c r="AG191" s="13">
        <v>1586.7</v>
      </c>
      <c r="AH191" s="13">
        <f>AI191+AJ191+AK191+AL191</f>
        <v>1586.7</v>
      </c>
      <c r="AI191" s="13"/>
      <c r="AJ191" s="13"/>
      <c r="AK191" s="13"/>
      <c r="AL191" s="13">
        <v>1586.7</v>
      </c>
      <c r="AM191" s="13">
        <f>AN191+AO191+AP191+AQ191</f>
        <v>1586.7</v>
      </c>
      <c r="AN191" s="13"/>
      <c r="AO191" s="13"/>
      <c r="AP191" s="13"/>
      <c r="AQ191" s="13">
        <v>1586.7</v>
      </c>
    </row>
    <row r="192" spans="1:43" ht="35.1" customHeight="1" thickBot="1">
      <c r="A192" s="17" t="s">
        <v>325</v>
      </c>
      <c r="B192" s="64">
        <v>2536</v>
      </c>
      <c r="C192" s="19"/>
      <c r="D192" s="20"/>
      <c r="E192" s="20"/>
      <c r="F192" s="20"/>
      <c r="G192" s="20"/>
      <c r="H192" s="20"/>
      <c r="I192" s="20"/>
      <c r="J192" s="20"/>
      <c r="K192" s="20"/>
      <c r="L192" s="20">
        <v>21</v>
      </c>
      <c r="M192" s="75"/>
      <c r="N192" s="20">
        <f>N193</f>
        <v>149</v>
      </c>
      <c r="O192" s="20">
        <f t="shared" ref="O192:AQ192" si="105">O193</f>
        <v>149</v>
      </c>
      <c r="P192" s="20">
        <f t="shared" si="105"/>
        <v>0</v>
      </c>
      <c r="Q192" s="20">
        <f t="shared" si="105"/>
        <v>0</v>
      </c>
      <c r="R192" s="20">
        <f t="shared" si="105"/>
        <v>149</v>
      </c>
      <c r="S192" s="20">
        <f t="shared" si="105"/>
        <v>149</v>
      </c>
      <c r="T192" s="20">
        <f t="shared" si="105"/>
        <v>0</v>
      </c>
      <c r="U192" s="20">
        <f t="shared" si="105"/>
        <v>0</v>
      </c>
      <c r="V192" s="20">
        <f t="shared" si="105"/>
        <v>0</v>
      </c>
      <c r="W192" s="20">
        <f t="shared" si="105"/>
        <v>0</v>
      </c>
      <c r="X192" s="20">
        <f t="shared" si="105"/>
        <v>0</v>
      </c>
      <c r="Y192" s="20">
        <f t="shared" si="105"/>
        <v>0</v>
      </c>
      <c r="Z192" s="20">
        <f t="shared" si="105"/>
        <v>0</v>
      </c>
      <c r="AA192" s="20">
        <f t="shared" si="105"/>
        <v>0</v>
      </c>
      <c r="AB192" s="20">
        <f t="shared" si="105"/>
        <v>0</v>
      </c>
      <c r="AC192" s="20">
        <f t="shared" si="105"/>
        <v>0</v>
      </c>
      <c r="AD192" s="20">
        <f t="shared" si="105"/>
        <v>0</v>
      </c>
      <c r="AE192" s="20">
        <f t="shared" si="105"/>
        <v>0</v>
      </c>
      <c r="AF192" s="20">
        <f t="shared" si="105"/>
        <v>0</v>
      </c>
      <c r="AG192" s="20">
        <f t="shared" si="105"/>
        <v>0</v>
      </c>
      <c r="AH192" s="20">
        <f t="shared" si="105"/>
        <v>0</v>
      </c>
      <c r="AI192" s="20">
        <f t="shared" si="105"/>
        <v>0</v>
      </c>
      <c r="AJ192" s="20">
        <f t="shared" si="105"/>
        <v>0</v>
      </c>
      <c r="AK192" s="20">
        <f t="shared" si="105"/>
        <v>0</v>
      </c>
      <c r="AL192" s="20">
        <f t="shared" si="105"/>
        <v>0</v>
      </c>
      <c r="AM192" s="20">
        <f t="shared" si="105"/>
        <v>0</v>
      </c>
      <c r="AN192" s="20">
        <f t="shared" si="105"/>
        <v>0</v>
      </c>
      <c r="AO192" s="20">
        <f t="shared" si="105"/>
        <v>0</v>
      </c>
      <c r="AP192" s="20">
        <f t="shared" si="105"/>
        <v>0</v>
      </c>
      <c r="AQ192" s="20">
        <f t="shared" si="105"/>
        <v>0</v>
      </c>
    </row>
    <row r="193" spans="1:43" ht="35.1" customHeight="1" thickBot="1">
      <c r="A193" s="14"/>
      <c r="B193" s="22"/>
      <c r="C193" s="187" t="s">
        <v>879</v>
      </c>
      <c r="D193" s="187" t="s">
        <v>97</v>
      </c>
      <c r="E193" s="218" t="s">
        <v>880</v>
      </c>
      <c r="F193" s="187" t="s">
        <v>909</v>
      </c>
      <c r="G193" s="187" t="s">
        <v>97</v>
      </c>
      <c r="H193" s="187" t="s">
        <v>910</v>
      </c>
      <c r="I193" s="71" t="s">
        <v>721</v>
      </c>
      <c r="J193" s="45" t="s">
        <v>855</v>
      </c>
      <c r="K193" s="179" t="s">
        <v>717</v>
      </c>
      <c r="L193" s="13"/>
      <c r="M193" s="24" t="s">
        <v>326</v>
      </c>
      <c r="N193" s="13">
        <f>P193+R193+T193+V193</f>
        <v>149</v>
      </c>
      <c r="O193" s="13">
        <f>Q193+S193</f>
        <v>149</v>
      </c>
      <c r="P193" s="13"/>
      <c r="Q193" s="13"/>
      <c r="R193" s="13">
        <f>408.1-259.1</f>
        <v>149</v>
      </c>
      <c r="S193" s="13">
        <v>149</v>
      </c>
      <c r="T193" s="13"/>
      <c r="U193" s="13"/>
      <c r="V193" s="13"/>
      <c r="W193" s="13"/>
      <c r="X193" s="13">
        <f>Y193+Z193+AA193+AB193</f>
        <v>0</v>
      </c>
      <c r="Y193" s="13"/>
      <c r="Z193" s="13">
        <v>0</v>
      </c>
      <c r="AA193" s="13"/>
      <c r="AB193" s="13"/>
      <c r="AC193" s="13">
        <f>AD193+AE193+AF193+AG193</f>
        <v>0</v>
      </c>
      <c r="AD193" s="13"/>
      <c r="AE193" s="13"/>
      <c r="AF193" s="13"/>
      <c r="AG193" s="13"/>
      <c r="AH193" s="13">
        <f>AI193+AJ193+AK193+AL193</f>
        <v>0</v>
      </c>
      <c r="AI193" s="13"/>
      <c r="AJ193" s="13"/>
      <c r="AK193" s="13"/>
      <c r="AL193" s="13"/>
      <c r="AM193" s="13">
        <f>AN193+AO193+AP193+AQ193</f>
        <v>0</v>
      </c>
      <c r="AN193" s="13"/>
      <c r="AO193" s="13"/>
      <c r="AP193" s="13"/>
      <c r="AQ193" s="13"/>
    </row>
    <row r="194" spans="1:43" ht="35.1" customHeight="1" thickBot="1">
      <c r="A194" s="17" t="s">
        <v>327</v>
      </c>
      <c r="B194" s="64">
        <v>2538</v>
      </c>
      <c r="C194" s="19"/>
      <c r="D194" s="20"/>
      <c r="E194" s="20"/>
      <c r="F194" s="20"/>
      <c r="G194" s="20"/>
      <c r="H194" s="20"/>
      <c r="I194" s="20"/>
      <c r="J194" s="20"/>
      <c r="K194" s="20"/>
      <c r="L194" s="20">
        <v>21</v>
      </c>
      <c r="M194" s="75"/>
      <c r="N194" s="20">
        <f t="shared" ref="N194:AQ194" si="106">N196</f>
        <v>2500</v>
      </c>
      <c r="O194" s="20">
        <f t="shared" si="106"/>
        <v>2499</v>
      </c>
      <c r="P194" s="20">
        <f t="shared" si="106"/>
        <v>0</v>
      </c>
      <c r="Q194" s="20">
        <f t="shared" si="106"/>
        <v>0</v>
      </c>
      <c r="R194" s="20">
        <f t="shared" si="106"/>
        <v>0</v>
      </c>
      <c r="S194" s="20">
        <f t="shared" si="106"/>
        <v>0</v>
      </c>
      <c r="T194" s="20">
        <f t="shared" si="106"/>
        <v>0</v>
      </c>
      <c r="U194" s="20">
        <f t="shared" si="106"/>
        <v>0</v>
      </c>
      <c r="V194" s="20">
        <f t="shared" si="106"/>
        <v>2500</v>
      </c>
      <c r="W194" s="20">
        <f t="shared" si="106"/>
        <v>2499</v>
      </c>
      <c r="X194" s="20">
        <f t="shared" si="106"/>
        <v>2800</v>
      </c>
      <c r="Y194" s="20">
        <f t="shared" si="106"/>
        <v>0</v>
      </c>
      <c r="Z194" s="20">
        <f t="shared" si="106"/>
        <v>0</v>
      </c>
      <c r="AA194" s="20">
        <f t="shared" si="106"/>
        <v>0</v>
      </c>
      <c r="AB194" s="20">
        <f t="shared" si="106"/>
        <v>2800</v>
      </c>
      <c r="AC194" s="20">
        <f t="shared" si="106"/>
        <v>2800</v>
      </c>
      <c r="AD194" s="20">
        <f t="shared" si="106"/>
        <v>0</v>
      </c>
      <c r="AE194" s="20">
        <f t="shared" si="106"/>
        <v>0</v>
      </c>
      <c r="AF194" s="20">
        <f t="shared" si="106"/>
        <v>0</v>
      </c>
      <c r="AG194" s="20">
        <f t="shared" si="106"/>
        <v>2800</v>
      </c>
      <c r="AH194" s="20">
        <f t="shared" si="106"/>
        <v>2800</v>
      </c>
      <c r="AI194" s="20">
        <f t="shared" si="106"/>
        <v>0</v>
      </c>
      <c r="AJ194" s="20">
        <f t="shared" si="106"/>
        <v>0</v>
      </c>
      <c r="AK194" s="20">
        <f t="shared" si="106"/>
        <v>0</v>
      </c>
      <c r="AL194" s="20">
        <f t="shared" si="106"/>
        <v>2800</v>
      </c>
      <c r="AM194" s="20">
        <f t="shared" si="106"/>
        <v>2800</v>
      </c>
      <c r="AN194" s="20">
        <f t="shared" si="106"/>
        <v>0</v>
      </c>
      <c r="AO194" s="20">
        <f t="shared" si="106"/>
        <v>0</v>
      </c>
      <c r="AP194" s="20">
        <f t="shared" si="106"/>
        <v>0</v>
      </c>
      <c r="AQ194" s="20">
        <f t="shared" si="106"/>
        <v>2800</v>
      </c>
    </row>
    <row r="195" spans="1:43" ht="35.1" customHeight="1" thickBot="1">
      <c r="A195" s="14"/>
      <c r="B195" s="64"/>
      <c r="C195" s="23" t="s">
        <v>328</v>
      </c>
      <c r="D195" s="23" t="s">
        <v>329</v>
      </c>
      <c r="E195" s="23" t="s">
        <v>330</v>
      </c>
      <c r="F195" s="23" t="s">
        <v>331</v>
      </c>
      <c r="G195" s="23" t="s">
        <v>35</v>
      </c>
      <c r="H195" s="23" t="s">
        <v>332</v>
      </c>
      <c r="I195" s="71" t="s">
        <v>721</v>
      </c>
      <c r="J195" s="45" t="s">
        <v>881</v>
      </c>
      <c r="K195" s="179" t="s">
        <v>717</v>
      </c>
      <c r="L195" s="20"/>
      <c r="M195" s="75"/>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row>
    <row r="196" spans="1:43" ht="35.1" customHeight="1" thickBot="1">
      <c r="A196" s="14"/>
      <c r="B196" s="22"/>
      <c r="C196" s="23" t="s">
        <v>103</v>
      </c>
      <c r="D196" s="23" t="s">
        <v>333</v>
      </c>
      <c r="E196" s="51" t="s">
        <v>143</v>
      </c>
      <c r="I196" s="206"/>
      <c r="J196" s="42"/>
      <c r="K196" s="43"/>
      <c r="L196" s="13"/>
      <c r="M196" s="24" t="s">
        <v>334</v>
      </c>
      <c r="N196" s="13">
        <f>P196+R196++T196+V196</f>
        <v>2500</v>
      </c>
      <c r="O196" s="13">
        <f>Q196+S196+U196+W196</f>
        <v>2499</v>
      </c>
      <c r="P196" s="13"/>
      <c r="Q196" s="13"/>
      <c r="R196" s="13"/>
      <c r="S196" s="13"/>
      <c r="T196" s="13"/>
      <c r="U196" s="13"/>
      <c r="V196" s="13">
        <v>2500</v>
      </c>
      <c r="W196" s="13">
        <v>2499</v>
      </c>
      <c r="X196" s="13">
        <f>Y196+Z196++AA196+AB196</f>
        <v>2800</v>
      </c>
      <c r="Y196" s="13"/>
      <c r="Z196" s="13"/>
      <c r="AA196" s="13"/>
      <c r="AB196" s="13">
        <v>2800</v>
      </c>
      <c r="AC196" s="13">
        <f>AD196+AE196++AF196+AG196</f>
        <v>2800</v>
      </c>
      <c r="AD196" s="13"/>
      <c r="AE196" s="13"/>
      <c r="AF196" s="13"/>
      <c r="AG196" s="13">
        <v>2800</v>
      </c>
      <c r="AH196" s="13">
        <f>AI196+AJ196+AK196+AL196</f>
        <v>2800</v>
      </c>
      <c r="AI196" s="13"/>
      <c r="AJ196" s="13"/>
      <c r="AK196" s="13"/>
      <c r="AL196" s="13">
        <v>2800</v>
      </c>
      <c r="AM196" s="13">
        <f>AN196+AO196+AP196+AQ196</f>
        <v>2800</v>
      </c>
      <c r="AN196" s="13"/>
      <c r="AO196" s="13"/>
      <c r="AP196" s="13"/>
      <c r="AQ196" s="13">
        <v>2800</v>
      </c>
    </row>
    <row r="197" spans="1:43" ht="35.1" customHeight="1" thickBot="1">
      <c r="A197" s="17" t="s">
        <v>335</v>
      </c>
      <c r="B197" s="18">
        <v>2539</v>
      </c>
      <c r="C197" s="19"/>
      <c r="D197" s="20"/>
      <c r="E197" s="20"/>
      <c r="F197" s="20"/>
      <c r="G197" s="20"/>
      <c r="H197" s="20"/>
      <c r="I197" s="20"/>
      <c r="J197" s="20"/>
      <c r="K197" s="20"/>
      <c r="L197" s="20">
        <v>19</v>
      </c>
      <c r="M197" s="75"/>
      <c r="N197" s="20">
        <f>N198</f>
        <v>1478.9</v>
      </c>
      <c r="O197" s="20">
        <f t="shared" ref="O197:AQ197" si="107">O198</f>
        <v>1410.5</v>
      </c>
      <c r="P197" s="20">
        <f t="shared" si="107"/>
        <v>0</v>
      </c>
      <c r="Q197" s="20">
        <f t="shared" si="107"/>
        <v>0</v>
      </c>
      <c r="R197" s="20">
        <f t="shared" si="107"/>
        <v>0</v>
      </c>
      <c r="S197" s="20">
        <f t="shared" si="107"/>
        <v>0</v>
      </c>
      <c r="T197" s="20">
        <f t="shared" si="107"/>
        <v>0</v>
      </c>
      <c r="U197" s="20">
        <f t="shared" si="107"/>
        <v>0</v>
      </c>
      <c r="V197" s="20">
        <f t="shared" si="107"/>
        <v>1478.9</v>
      </c>
      <c r="W197" s="20">
        <f t="shared" si="107"/>
        <v>1410.5</v>
      </c>
      <c r="X197" s="20">
        <f t="shared" si="107"/>
        <v>3166.9</v>
      </c>
      <c r="Y197" s="20">
        <f t="shared" si="107"/>
        <v>0</v>
      </c>
      <c r="Z197" s="20">
        <f t="shared" si="107"/>
        <v>0</v>
      </c>
      <c r="AA197" s="20">
        <f t="shared" si="107"/>
        <v>0</v>
      </c>
      <c r="AB197" s="20">
        <f t="shared" si="107"/>
        <v>3166.9</v>
      </c>
      <c r="AC197" s="20">
        <f t="shared" si="107"/>
        <v>3166.9</v>
      </c>
      <c r="AD197" s="20">
        <f t="shared" si="107"/>
        <v>0</v>
      </c>
      <c r="AE197" s="20">
        <f t="shared" si="107"/>
        <v>0</v>
      </c>
      <c r="AF197" s="20">
        <f t="shared" si="107"/>
        <v>0</v>
      </c>
      <c r="AG197" s="20">
        <f t="shared" si="107"/>
        <v>3166.9</v>
      </c>
      <c r="AH197" s="20">
        <f t="shared" si="107"/>
        <v>3166.9</v>
      </c>
      <c r="AI197" s="20">
        <f t="shared" si="107"/>
        <v>0</v>
      </c>
      <c r="AJ197" s="20">
        <f t="shared" si="107"/>
        <v>0</v>
      </c>
      <c r="AK197" s="20">
        <f t="shared" si="107"/>
        <v>0</v>
      </c>
      <c r="AL197" s="20">
        <f t="shared" si="107"/>
        <v>3166.9</v>
      </c>
      <c r="AM197" s="20">
        <f t="shared" si="107"/>
        <v>3166.9</v>
      </c>
      <c r="AN197" s="20">
        <f t="shared" si="107"/>
        <v>0</v>
      </c>
      <c r="AO197" s="20">
        <f t="shared" si="107"/>
        <v>0</v>
      </c>
      <c r="AP197" s="20">
        <f t="shared" si="107"/>
        <v>0</v>
      </c>
      <c r="AQ197" s="20">
        <f t="shared" si="107"/>
        <v>3166.9</v>
      </c>
    </row>
    <row r="198" spans="1:43" ht="35.1" customHeight="1" thickBot="1">
      <c r="A198" s="14"/>
      <c r="B198" s="31"/>
      <c r="C198" s="23" t="s">
        <v>103</v>
      </c>
      <c r="D198" s="23" t="s">
        <v>336</v>
      </c>
      <c r="E198" s="51" t="s">
        <v>143</v>
      </c>
      <c r="F198" s="23" t="s">
        <v>337</v>
      </c>
      <c r="G198" s="23" t="s">
        <v>35</v>
      </c>
      <c r="H198" s="23" t="s">
        <v>338</v>
      </c>
      <c r="I198" s="71" t="s">
        <v>721</v>
      </c>
      <c r="J198" s="45" t="s">
        <v>856</v>
      </c>
      <c r="K198" s="179" t="s">
        <v>717</v>
      </c>
      <c r="L198" s="13"/>
      <c r="M198" s="24" t="s">
        <v>339</v>
      </c>
      <c r="N198" s="13">
        <f>P198+R198++T198+V198</f>
        <v>1478.9</v>
      </c>
      <c r="O198" s="13">
        <f>Q198+S198+U198+W198</f>
        <v>1410.5</v>
      </c>
      <c r="P198" s="13"/>
      <c r="Q198" s="13"/>
      <c r="R198" s="13"/>
      <c r="S198" s="13"/>
      <c r="T198" s="13"/>
      <c r="U198" s="13"/>
      <c r="V198" s="13">
        <f>3000-1521.1</f>
        <v>1478.9</v>
      </c>
      <c r="W198" s="13">
        <v>1410.5</v>
      </c>
      <c r="X198" s="13">
        <f>Y198+Z198++AA198+AB198</f>
        <v>3166.9</v>
      </c>
      <c r="Y198" s="13"/>
      <c r="Z198" s="13"/>
      <c r="AA198" s="13"/>
      <c r="AB198" s="13">
        <v>3166.9</v>
      </c>
      <c r="AC198" s="13">
        <f>AD198+AE198++AF198+AG198</f>
        <v>3166.9</v>
      </c>
      <c r="AD198" s="13"/>
      <c r="AE198" s="13"/>
      <c r="AF198" s="13"/>
      <c r="AG198" s="13">
        <v>3166.9</v>
      </c>
      <c r="AH198" s="13">
        <f>AI198+AJ198+AK198+AL198</f>
        <v>3166.9</v>
      </c>
      <c r="AI198" s="13"/>
      <c r="AJ198" s="13"/>
      <c r="AK198" s="13"/>
      <c r="AL198" s="13">
        <v>3166.9</v>
      </c>
      <c r="AM198" s="13">
        <f>AN198+AO198+AP198+AQ198</f>
        <v>3166.9</v>
      </c>
      <c r="AN198" s="13"/>
      <c r="AO198" s="13"/>
      <c r="AP198" s="13"/>
      <c r="AQ198" s="13">
        <v>3166.9</v>
      </c>
    </row>
    <row r="199" spans="1:43" ht="35.1" customHeight="1" thickBot="1">
      <c r="A199" s="14"/>
      <c r="B199" s="31"/>
      <c r="C199" s="23" t="s">
        <v>340</v>
      </c>
      <c r="D199" s="23" t="s">
        <v>341</v>
      </c>
      <c r="E199" s="23" t="s">
        <v>342</v>
      </c>
      <c r="F199" s="23"/>
      <c r="G199" s="23"/>
      <c r="H199" s="23"/>
      <c r="I199" s="71"/>
      <c r="J199" s="71"/>
      <c r="K199" s="264"/>
      <c r="L199" s="13"/>
      <c r="M199" s="24"/>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row>
    <row r="200" spans="1:43" ht="35.1" customHeight="1" thickBot="1">
      <c r="A200" s="17" t="s">
        <v>343</v>
      </c>
      <c r="B200" s="18">
        <v>2540</v>
      </c>
      <c r="C200" s="19"/>
      <c r="D200" s="20"/>
      <c r="E200" s="20"/>
      <c r="F200" s="20"/>
      <c r="G200" s="20"/>
      <c r="H200" s="20"/>
      <c r="I200" s="20"/>
      <c r="J200" s="20"/>
      <c r="K200" s="20"/>
      <c r="L200" s="20">
        <v>21</v>
      </c>
      <c r="M200" s="75"/>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row>
    <row r="201" spans="1:43" ht="35.1" customHeight="1" thickBot="1">
      <c r="A201" s="17" t="s">
        <v>344</v>
      </c>
      <c r="B201" s="18">
        <v>2541</v>
      </c>
      <c r="C201" s="19"/>
      <c r="D201" s="20"/>
      <c r="E201" s="20"/>
      <c r="F201" s="20"/>
      <c r="G201" s="20"/>
      <c r="H201" s="20"/>
      <c r="I201" s="20"/>
      <c r="J201" s="20"/>
      <c r="K201" s="20"/>
      <c r="L201" s="20">
        <v>21</v>
      </c>
      <c r="M201" s="75"/>
      <c r="N201" s="20">
        <f>N203+N207+N210+N205+N211+N213+N204+N206+N208+N212+N202+N209</f>
        <v>160910.5</v>
      </c>
      <c r="O201" s="20">
        <f t="shared" ref="O201:AQ201" si="108">O203+O207+O210+O205+O211+O213+O204+O206+O208+O212+O202+O209</f>
        <v>150259.9</v>
      </c>
      <c r="P201" s="20">
        <f t="shared" si="108"/>
        <v>15158.7</v>
      </c>
      <c r="Q201" s="20">
        <f t="shared" si="108"/>
        <v>15158.7</v>
      </c>
      <c r="R201" s="20">
        <f t="shared" si="108"/>
        <v>112608.70000000001</v>
      </c>
      <c r="S201" s="20">
        <f t="shared" si="108"/>
        <v>102125.2</v>
      </c>
      <c r="T201" s="20">
        <f t="shared" si="108"/>
        <v>148.80000000000001</v>
      </c>
      <c r="U201" s="20">
        <f t="shared" si="108"/>
        <v>148.80000000000001</v>
      </c>
      <c r="V201" s="20">
        <f t="shared" si="108"/>
        <v>32994.299999999996</v>
      </c>
      <c r="W201" s="20">
        <f t="shared" si="108"/>
        <v>32827.199999999997</v>
      </c>
      <c r="X201" s="20">
        <f t="shared" si="108"/>
        <v>29861.1</v>
      </c>
      <c r="Y201" s="20">
        <f t="shared" si="108"/>
        <v>13479.6</v>
      </c>
      <c r="Z201" s="20">
        <f t="shared" si="108"/>
        <v>1497.7</v>
      </c>
      <c r="AA201" s="20">
        <f t="shared" si="108"/>
        <v>1300</v>
      </c>
      <c r="AB201" s="20">
        <f t="shared" si="108"/>
        <v>13583.8</v>
      </c>
      <c r="AC201" s="20">
        <f t="shared" si="108"/>
        <v>25335</v>
      </c>
      <c r="AD201" s="20">
        <f t="shared" si="108"/>
        <v>9013.1</v>
      </c>
      <c r="AE201" s="20">
        <f t="shared" si="108"/>
        <v>1467.3</v>
      </c>
      <c r="AF201" s="20">
        <f t="shared" si="108"/>
        <v>1300</v>
      </c>
      <c r="AG201" s="20">
        <f t="shared" si="108"/>
        <v>13554.6</v>
      </c>
      <c r="AH201" s="20">
        <f t="shared" si="108"/>
        <v>25247.3</v>
      </c>
      <c r="AI201" s="20">
        <f t="shared" si="108"/>
        <v>8690.2999999999993</v>
      </c>
      <c r="AJ201" s="20">
        <f t="shared" si="108"/>
        <v>1907.6</v>
      </c>
      <c r="AK201" s="20">
        <f t="shared" si="108"/>
        <v>1300</v>
      </c>
      <c r="AL201" s="20">
        <f t="shared" si="108"/>
        <v>13349.4</v>
      </c>
      <c r="AM201" s="20">
        <f t="shared" si="108"/>
        <v>25247.3</v>
      </c>
      <c r="AN201" s="20">
        <f t="shared" si="108"/>
        <v>8690.2999999999993</v>
      </c>
      <c r="AO201" s="20">
        <f t="shared" si="108"/>
        <v>1907.6</v>
      </c>
      <c r="AP201" s="20">
        <f t="shared" si="108"/>
        <v>1300</v>
      </c>
      <c r="AQ201" s="20">
        <f t="shared" si="108"/>
        <v>13349.4</v>
      </c>
    </row>
    <row r="202" spans="1:43" ht="35.1" customHeight="1" thickBot="1">
      <c r="A202" s="14"/>
      <c r="B202" s="31"/>
      <c r="C202" s="209" t="s">
        <v>31</v>
      </c>
      <c r="D202" s="201" t="s">
        <v>85</v>
      </c>
      <c r="E202" s="211" t="s">
        <v>86</v>
      </c>
      <c r="F202" s="228"/>
      <c r="G202" s="16"/>
      <c r="H202" s="228"/>
      <c r="I202" s="309" t="s">
        <v>721</v>
      </c>
      <c r="J202" s="309" t="s">
        <v>857</v>
      </c>
      <c r="K202" s="312" t="s">
        <v>717</v>
      </c>
      <c r="L202" s="13"/>
      <c r="M202" s="24" t="s">
        <v>345</v>
      </c>
      <c r="N202" s="13">
        <f>P202+R202+T202+V202</f>
        <v>3741.1</v>
      </c>
      <c r="O202" s="13">
        <f t="shared" ref="O202:O211" si="109">Q202+S202+U202+W202</f>
        <v>3736</v>
      </c>
      <c r="P202" s="13"/>
      <c r="Q202" s="13"/>
      <c r="R202" s="13">
        <v>3741.1</v>
      </c>
      <c r="S202" s="13">
        <v>3736</v>
      </c>
      <c r="T202" s="13"/>
      <c r="U202" s="13"/>
      <c r="V202" s="13"/>
      <c r="W202" s="13"/>
      <c r="X202" s="13">
        <f>Y202+Z202+AA202+AB202</f>
        <v>0</v>
      </c>
      <c r="Y202" s="13"/>
      <c r="Z202" s="13"/>
      <c r="AA202" s="13"/>
      <c r="AB202" s="13">
        <v>0</v>
      </c>
      <c r="AC202" s="13">
        <v>0</v>
      </c>
      <c r="AD202" s="13"/>
      <c r="AE202" s="13"/>
      <c r="AF202" s="13"/>
      <c r="AG202" s="13">
        <v>0</v>
      </c>
      <c r="AH202" s="13">
        <v>0</v>
      </c>
      <c r="AI202" s="13"/>
      <c r="AJ202" s="13"/>
      <c r="AK202" s="13"/>
      <c r="AL202" s="13">
        <v>0</v>
      </c>
      <c r="AM202" s="13">
        <v>0</v>
      </c>
      <c r="AN202" s="13"/>
      <c r="AO202" s="13"/>
      <c r="AP202" s="13"/>
      <c r="AQ202" s="13">
        <v>0</v>
      </c>
    </row>
    <row r="203" spans="1:43" ht="35.1" customHeight="1" thickBot="1">
      <c r="A203" s="14"/>
      <c r="B203" s="31"/>
      <c r="C203" s="210"/>
      <c r="D203" s="202"/>
      <c r="E203" s="212"/>
      <c r="F203" s="13"/>
      <c r="G203" s="13"/>
      <c r="H203" s="13"/>
      <c r="I203" s="311"/>
      <c r="J203" s="311"/>
      <c r="K203" s="311"/>
      <c r="L203" s="13"/>
      <c r="M203" s="24" t="s">
        <v>346</v>
      </c>
      <c r="N203" s="13">
        <f t="shared" ref="N203:N205" si="110">P203+R203+T203+V203</f>
        <v>6965.4000000000005</v>
      </c>
      <c r="O203" s="13">
        <f t="shared" si="109"/>
        <v>6965.4</v>
      </c>
      <c r="P203" s="13"/>
      <c r="Q203" s="13"/>
      <c r="R203" s="13"/>
      <c r="S203" s="13"/>
      <c r="T203" s="13"/>
      <c r="U203" s="13"/>
      <c r="V203" s="13">
        <f>5300+3819.1+827.1-1685.5-1545.3+250</f>
        <v>6965.4000000000005</v>
      </c>
      <c r="W203" s="13">
        <v>6965.4</v>
      </c>
      <c r="X203" s="13">
        <f t="shared" ref="X203:X205" si="111">Y203+Z203+AA203+AB203</f>
        <v>7400</v>
      </c>
      <c r="Y203" s="13"/>
      <c r="Z203" s="13"/>
      <c r="AA203" s="13"/>
      <c r="AB203" s="13">
        <v>7400</v>
      </c>
      <c r="AC203" s="13">
        <f t="shared" ref="AC203:AC205" si="112">AD203+AE203+AF203+AG203</f>
        <v>7400</v>
      </c>
      <c r="AD203" s="13"/>
      <c r="AE203" s="13"/>
      <c r="AF203" s="13"/>
      <c r="AG203" s="13">
        <v>7400</v>
      </c>
      <c r="AH203" s="13">
        <f t="shared" ref="AH203:AH212" si="113">AI203+AJ203+AK203+AL203</f>
        <v>7400</v>
      </c>
      <c r="AI203" s="13"/>
      <c r="AJ203" s="13"/>
      <c r="AK203" s="13"/>
      <c r="AL203" s="13">
        <v>7400</v>
      </c>
      <c r="AM203" s="13">
        <f t="shared" ref="AM203:AM212" si="114">AN203+AO203+AP203+AQ203</f>
        <v>7400</v>
      </c>
      <c r="AN203" s="13"/>
      <c r="AO203" s="13"/>
      <c r="AP203" s="13"/>
      <c r="AQ203" s="13">
        <v>7400</v>
      </c>
    </row>
    <row r="204" spans="1:43" ht="35.1" customHeight="1" thickBot="1">
      <c r="A204" s="14"/>
      <c r="B204" s="31"/>
      <c r="C204" s="210"/>
      <c r="D204" s="202"/>
      <c r="E204" s="212"/>
      <c r="F204" s="13"/>
      <c r="G204" s="13"/>
      <c r="H204" s="13"/>
      <c r="I204" s="311"/>
      <c r="J204" s="311"/>
      <c r="K204" s="311"/>
      <c r="L204" s="13"/>
      <c r="M204" s="24" t="s">
        <v>347</v>
      </c>
      <c r="N204" s="13">
        <f t="shared" si="110"/>
        <v>250</v>
      </c>
      <c r="O204" s="13">
        <f t="shared" si="109"/>
        <v>197.1</v>
      </c>
      <c r="P204" s="13"/>
      <c r="Q204" s="13"/>
      <c r="R204" s="13"/>
      <c r="S204" s="13"/>
      <c r="T204" s="13"/>
      <c r="U204" s="13"/>
      <c r="V204" s="13">
        <f>100+50+100</f>
        <v>250</v>
      </c>
      <c r="W204" s="13">
        <v>197.1</v>
      </c>
      <c r="X204" s="13">
        <f t="shared" si="111"/>
        <v>250</v>
      </c>
      <c r="Y204" s="13"/>
      <c r="Z204" s="13"/>
      <c r="AA204" s="13"/>
      <c r="AB204" s="13">
        <f>100+50+100</f>
        <v>250</v>
      </c>
      <c r="AC204" s="13">
        <f t="shared" si="112"/>
        <v>250</v>
      </c>
      <c r="AD204" s="13"/>
      <c r="AE204" s="13"/>
      <c r="AF204" s="13"/>
      <c r="AG204" s="13">
        <v>250</v>
      </c>
      <c r="AH204" s="13">
        <f t="shared" si="113"/>
        <v>250</v>
      </c>
      <c r="AI204" s="13"/>
      <c r="AJ204" s="13"/>
      <c r="AK204" s="13"/>
      <c r="AL204" s="13">
        <v>250</v>
      </c>
      <c r="AM204" s="13">
        <f t="shared" si="114"/>
        <v>250</v>
      </c>
      <c r="AN204" s="13"/>
      <c r="AO204" s="13"/>
      <c r="AP204" s="13"/>
      <c r="AQ204" s="13">
        <v>250</v>
      </c>
    </row>
    <row r="205" spans="1:43" ht="35.1" customHeight="1" thickBot="1">
      <c r="A205" s="14"/>
      <c r="B205" s="31"/>
      <c r="C205" s="210"/>
      <c r="D205" s="202"/>
      <c r="E205" s="212"/>
      <c r="F205" s="13"/>
      <c r="G205" s="13"/>
      <c r="H205" s="13"/>
      <c r="I205" s="311"/>
      <c r="J205" s="311"/>
      <c r="K205" s="311"/>
      <c r="L205" s="13"/>
      <c r="M205" s="24" t="s">
        <v>348</v>
      </c>
      <c r="N205" s="13">
        <f t="shared" si="110"/>
        <v>1094</v>
      </c>
      <c r="O205" s="13">
        <f t="shared" si="109"/>
        <v>1094</v>
      </c>
      <c r="P205" s="13"/>
      <c r="Q205" s="13"/>
      <c r="R205" s="13"/>
      <c r="S205" s="13"/>
      <c r="T205" s="13"/>
      <c r="U205" s="13"/>
      <c r="V205" s="13">
        <f>500+594</f>
        <v>1094</v>
      </c>
      <c r="W205" s="13">
        <v>1094</v>
      </c>
      <c r="X205" s="13">
        <f t="shared" si="111"/>
        <v>500</v>
      </c>
      <c r="Y205" s="13"/>
      <c r="Z205" s="13"/>
      <c r="AA205" s="13"/>
      <c r="AB205" s="13">
        <v>500</v>
      </c>
      <c r="AC205" s="13">
        <f t="shared" si="112"/>
        <v>500</v>
      </c>
      <c r="AD205" s="13"/>
      <c r="AE205" s="13"/>
      <c r="AF205" s="13"/>
      <c r="AG205" s="13">
        <v>500</v>
      </c>
      <c r="AH205" s="13">
        <f t="shared" si="113"/>
        <v>500</v>
      </c>
      <c r="AI205" s="13"/>
      <c r="AJ205" s="13"/>
      <c r="AK205" s="13"/>
      <c r="AL205" s="13">
        <v>500</v>
      </c>
      <c r="AM205" s="13">
        <f t="shared" si="114"/>
        <v>500</v>
      </c>
      <c r="AN205" s="13"/>
      <c r="AO205" s="13"/>
      <c r="AP205" s="13"/>
      <c r="AQ205" s="13">
        <v>500</v>
      </c>
    </row>
    <row r="206" spans="1:43" ht="35.1" customHeight="1" thickBot="1">
      <c r="A206" s="14"/>
      <c r="B206" s="22"/>
      <c r="C206" s="228"/>
      <c r="D206" s="228"/>
      <c r="E206" s="228"/>
      <c r="F206" s="13"/>
      <c r="G206" s="13"/>
      <c r="H206" s="13"/>
      <c r="I206" s="317"/>
      <c r="J206" s="317"/>
      <c r="K206" s="317"/>
      <c r="L206" s="13"/>
      <c r="M206" s="24" t="s">
        <v>349</v>
      </c>
      <c r="N206" s="13">
        <f>P206+R206+T206+V206</f>
        <v>6799.3</v>
      </c>
      <c r="O206" s="13">
        <f t="shared" si="109"/>
        <v>6790.8</v>
      </c>
      <c r="P206" s="13"/>
      <c r="Q206" s="13"/>
      <c r="R206" s="13"/>
      <c r="S206" s="13"/>
      <c r="T206" s="13"/>
      <c r="U206" s="13"/>
      <c r="V206" s="13">
        <f>2200+4700+110-210.7</f>
        <v>6799.3</v>
      </c>
      <c r="W206" s="13">
        <v>6790.8</v>
      </c>
      <c r="X206" s="13">
        <f>Y206+Z206+AA206+AB206</f>
        <v>0</v>
      </c>
      <c r="Y206" s="13"/>
      <c r="Z206" s="13"/>
      <c r="AA206" s="13"/>
      <c r="AB206" s="13">
        <v>0</v>
      </c>
      <c r="AC206" s="13">
        <f>AD206+AE206+AF206+AG206</f>
        <v>0</v>
      </c>
      <c r="AD206" s="13"/>
      <c r="AE206" s="13"/>
      <c r="AF206" s="13"/>
      <c r="AG206" s="13">
        <v>0</v>
      </c>
      <c r="AH206" s="13">
        <f t="shared" si="113"/>
        <v>0</v>
      </c>
      <c r="AI206" s="13"/>
      <c r="AJ206" s="13"/>
      <c r="AK206" s="13"/>
      <c r="AL206" s="13">
        <v>0</v>
      </c>
      <c r="AM206" s="13">
        <f t="shared" si="114"/>
        <v>0</v>
      </c>
      <c r="AN206" s="13"/>
      <c r="AO206" s="13"/>
      <c r="AP206" s="13"/>
      <c r="AQ206" s="13">
        <v>0</v>
      </c>
    </row>
    <row r="207" spans="1:43" ht="35.1" customHeight="1" thickBot="1">
      <c r="A207" s="14"/>
      <c r="B207" s="22"/>
      <c r="C207" s="228"/>
      <c r="D207" s="228"/>
      <c r="E207" s="228"/>
      <c r="F207" s="45" t="s">
        <v>704</v>
      </c>
      <c r="G207" s="45" t="s">
        <v>97</v>
      </c>
      <c r="H207" s="45" t="s">
        <v>705</v>
      </c>
      <c r="I207" s="45" t="s">
        <v>706</v>
      </c>
      <c r="J207" s="45" t="s">
        <v>97</v>
      </c>
      <c r="K207" s="45" t="s">
        <v>915</v>
      </c>
      <c r="L207" s="13"/>
      <c r="M207" s="24" t="s">
        <v>350</v>
      </c>
      <c r="N207" s="13">
        <f t="shared" ref="N207:O212" si="115">P207+R207+T207+V207</f>
        <v>16886.2</v>
      </c>
      <c r="O207" s="13">
        <f t="shared" si="109"/>
        <v>16886.2</v>
      </c>
      <c r="P207" s="13">
        <v>15158.7</v>
      </c>
      <c r="Q207" s="13">
        <v>15158.7</v>
      </c>
      <c r="R207" s="13">
        <v>967.6</v>
      </c>
      <c r="S207" s="13">
        <v>967.6</v>
      </c>
      <c r="T207" s="13"/>
      <c r="U207" s="13"/>
      <c r="V207" s="13">
        <v>759.9</v>
      </c>
      <c r="W207" s="13">
        <v>759.9</v>
      </c>
      <c r="X207" s="13">
        <f t="shared" ref="X207:X212" si="116">Y207+Z207+AA207+AB207</f>
        <v>15711.1</v>
      </c>
      <c r="Y207" s="13">
        <v>13479.6</v>
      </c>
      <c r="Z207" s="13">
        <v>1497.7</v>
      </c>
      <c r="AA207" s="13"/>
      <c r="AB207" s="13">
        <v>733.8</v>
      </c>
      <c r="AC207" s="13">
        <f>AD207+AE207+AF207+AG207</f>
        <v>11185</v>
      </c>
      <c r="AD207" s="13">
        <v>9013.1</v>
      </c>
      <c r="AE207" s="13">
        <f>1467.2+0.1</f>
        <v>1467.3</v>
      </c>
      <c r="AF207" s="13"/>
      <c r="AG207" s="13">
        <v>704.6</v>
      </c>
      <c r="AH207" s="13">
        <f t="shared" si="113"/>
        <v>11097.3</v>
      </c>
      <c r="AI207" s="13">
        <v>8690.2999999999993</v>
      </c>
      <c r="AJ207" s="13">
        <v>1907.6</v>
      </c>
      <c r="AK207" s="13"/>
      <c r="AL207" s="13">
        <v>499.4</v>
      </c>
      <c r="AM207" s="13">
        <f t="shared" si="114"/>
        <v>11097.3</v>
      </c>
      <c r="AN207" s="13">
        <v>8690.2999999999993</v>
      </c>
      <c r="AO207" s="13">
        <v>1907.6</v>
      </c>
      <c r="AP207" s="13"/>
      <c r="AQ207" s="13">
        <v>499.4</v>
      </c>
    </row>
    <row r="208" spans="1:43" ht="35.1" customHeight="1" thickBot="1">
      <c r="A208" s="14"/>
      <c r="B208" s="22"/>
      <c r="C208" s="228"/>
      <c r="D208" s="228"/>
      <c r="E208" s="228"/>
      <c r="F208" s="45"/>
      <c r="G208" s="45"/>
      <c r="H208" s="45"/>
      <c r="I208" s="45" t="s">
        <v>711</v>
      </c>
      <c r="J208" s="45" t="s">
        <v>97</v>
      </c>
      <c r="K208" s="45" t="s">
        <v>712</v>
      </c>
      <c r="L208" s="13"/>
      <c r="M208" s="24" t="s">
        <v>351</v>
      </c>
      <c r="N208" s="13">
        <f t="shared" si="115"/>
        <v>58484.800000000003</v>
      </c>
      <c r="O208" s="13">
        <f t="shared" si="109"/>
        <v>48118.399999999994</v>
      </c>
      <c r="P208" s="13"/>
      <c r="Q208" s="13"/>
      <c r="R208" s="13">
        <v>57900</v>
      </c>
      <c r="S208" s="13">
        <v>47637.2</v>
      </c>
      <c r="T208" s="13"/>
      <c r="U208" s="13"/>
      <c r="V208" s="13">
        <v>584.79999999999995</v>
      </c>
      <c r="W208" s="13">
        <v>481.2</v>
      </c>
      <c r="X208" s="13">
        <f t="shared" si="116"/>
        <v>0</v>
      </c>
      <c r="Y208" s="13"/>
      <c r="Z208" s="13">
        <v>0</v>
      </c>
      <c r="AA208" s="13"/>
      <c r="AB208" s="13">
        <v>0</v>
      </c>
      <c r="AC208" s="13">
        <f t="shared" ref="AC208" si="117">AD208+AE208+AF208+AG208</f>
        <v>0</v>
      </c>
      <c r="AD208" s="13"/>
      <c r="AE208" s="13"/>
      <c r="AF208" s="13"/>
      <c r="AG208" s="13">
        <v>0</v>
      </c>
      <c r="AH208" s="13">
        <v>0</v>
      </c>
      <c r="AI208" s="13"/>
      <c r="AJ208" s="13"/>
      <c r="AK208" s="13"/>
      <c r="AL208" s="13">
        <v>0</v>
      </c>
      <c r="AM208" s="13">
        <v>0</v>
      </c>
      <c r="AN208" s="13"/>
      <c r="AO208" s="13"/>
      <c r="AP208" s="13"/>
      <c r="AQ208" s="13">
        <v>0</v>
      </c>
    </row>
    <row r="209" spans="1:43" ht="35.1" customHeight="1" thickBot="1">
      <c r="A209" s="14"/>
      <c r="B209" s="22"/>
      <c r="C209" s="228"/>
      <c r="D209" s="228"/>
      <c r="E209" s="228"/>
      <c r="F209" s="13"/>
      <c r="G209" s="13"/>
      <c r="H209" s="13"/>
      <c r="I209" s="71" t="s">
        <v>721</v>
      </c>
      <c r="J209" s="45" t="s">
        <v>857</v>
      </c>
      <c r="K209" s="179" t="s">
        <v>717</v>
      </c>
      <c r="L209" s="13"/>
      <c r="M209" s="24" t="s">
        <v>352</v>
      </c>
      <c r="N209" s="13">
        <f t="shared" si="115"/>
        <v>6001.4000000000005</v>
      </c>
      <c r="O209" s="13">
        <f t="shared" si="109"/>
        <v>6001.4</v>
      </c>
      <c r="P209" s="13"/>
      <c r="Q209" s="13"/>
      <c r="R209" s="13"/>
      <c r="S209" s="13"/>
      <c r="T209" s="13"/>
      <c r="U209" s="13"/>
      <c r="V209" s="13">
        <f>6187.3-185.9</f>
        <v>6001.4000000000005</v>
      </c>
      <c r="W209" s="13">
        <v>6001.4</v>
      </c>
      <c r="X209" s="13">
        <f t="shared" si="116"/>
        <v>0</v>
      </c>
      <c r="Y209" s="13"/>
      <c r="Z209" s="13"/>
      <c r="AA209" s="13"/>
      <c r="AB209" s="13">
        <v>0</v>
      </c>
      <c r="AC209" s="13">
        <v>0</v>
      </c>
      <c r="AD209" s="13"/>
      <c r="AE209" s="13"/>
      <c r="AF209" s="13"/>
      <c r="AG209" s="13">
        <v>0</v>
      </c>
      <c r="AH209" s="13">
        <v>0</v>
      </c>
      <c r="AI209" s="13"/>
      <c r="AJ209" s="13"/>
      <c r="AK209" s="13"/>
      <c r="AL209" s="13">
        <v>0</v>
      </c>
      <c r="AM209" s="13">
        <v>0</v>
      </c>
      <c r="AN209" s="13"/>
      <c r="AO209" s="13"/>
      <c r="AP209" s="13"/>
      <c r="AQ209" s="13">
        <v>0</v>
      </c>
    </row>
    <row r="210" spans="1:43" ht="35.1" customHeight="1" thickBot="1">
      <c r="A210" s="14"/>
      <c r="B210" s="22"/>
      <c r="C210" s="228"/>
      <c r="D210" s="228"/>
      <c r="E210" s="228"/>
      <c r="F210" s="13"/>
      <c r="G210" s="13"/>
      <c r="H210" s="13"/>
      <c r="I210" s="26"/>
      <c r="J210" s="13"/>
      <c r="K210" s="13"/>
      <c r="L210" s="13"/>
      <c r="M210" s="24" t="s">
        <v>353</v>
      </c>
      <c r="N210" s="13">
        <f t="shared" si="115"/>
        <v>148.80000000000001</v>
      </c>
      <c r="O210" s="13">
        <f t="shared" si="109"/>
        <v>148.80000000000001</v>
      </c>
      <c r="P210" s="13"/>
      <c r="Q210" s="13"/>
      <c r="R210" s="13"/>
      <c r="S210" s="13"/>
      <c r="T210" s="13">
        <v>148.80000000000001</v>
      </c>
      <c r="U210" s="13">
        <v>148.80000000000001</v>
      </c>
      <c r="V210" s="13"/>
      <c r="W210" s="13"/>
      <c r="X210" s="13">
        <f t="shared" si="116"/>
        <v>1300</v>
      </c>
      <c r="Y210" s="13"/>
      <c r="Z210" s="13"/>
      <c r="AA210" s="13">
        <v>1300</v>
      </c>
      <c r="AB210" s="13">
        <v>0</v>
      </c>
      <c r="AC210" s="13">
        <f t="shared" ref="AC210:AC212" si="118">AD210+AE210+AF210+AG210</f>
        <v>1300</v>
      </c>
      <c r="AD210" s="13"/>
      <c r="AE210" s="13"/>
      <c r="AF210" s="13">
        <v>1300</v>
      </c>
      <c r="AG210" s="13">
        <v>0</v>
      </c>
      <c r="AH210" s="13">
        <f t="shared" si="113"/>
        <v>1300</v>
      </c>
      <c r="AI210" s="13"/>
      <c r="AJ210" s="13"/>
      <c r="AK210" s="13">
        <v>1300</v>
      </c>
      <c r="AL210" s="13">
        <v>0</v>
      </c>
      <c r="AM210" s="13">
        <f t="shared" si="114"/>
        <v>1300</v>
      </c>
      <c r="AN210" s="13"/>
      <c r="AO210" s="13"/>
      <c r="AP210" s="13">
        <v>1300</v>
      </c>
      <c r="AQ210" s="13">
        <v>0</v>
      </c>
    </row>
    <row r="211" spans="1:43" ht="35.1" customHeight="1" thickBot="1">
      <c r="A211" s="14"/>
      <c r="B211" s="22"/>
      <c r="C211" s="228"/>
      <c r="D211" s="228"/>
      <c r="E211" s="228"/>
      <c r="F211" s="13"/>
      <c r="G211" s="13"/>
      <c r="H211" s="13"/>
      <c r="I211" s="26"/>
      <c r="J211" s="13"/>
      <c r="K211" s="13"/>
      <c r="L211" s="13"/>
      <c r="M211" s="24" t="s">
        <v>354</v>
      </c>
      <c r="N211" s="13">
        <f t="shared" si="115"/>
        <v>8934.5</v>
      </c>
      <c r="O211" s="13">
        <f t="shared" si="109"/>
        <v>8934.5</v>
      </c>
      <c r="P211" s="13"/>
      <c r="Q211" s="13"/>
      <c r="R211" s="13"/>
      <c r="S211" s="13"/>
      <c r="T211" s="13"/>
      <c r="U211" s="13"/>
      <c r="V211" s="13">
        <f>7981.4+1219.6-266.5</f>
        <v>8934.5</v>
      </c>
      <c r="W211" s="13">
        <v>8934.5</v>
      </c>
      <c r="X211" s="13">
        <f t="shared" si="116"/>
        <v>3400</v>
      </c>
      <c r="Y211" s="13"/>
      <c r="Z211" s="13"/>
      <c r="AA211" s="13"/>
      <c r="AB211" s="13">
        <v>3400</v>
      </c>
      <c r="AC211" s="13">
        <f t="shared" si="118"/>
        <v>3400</v>
      </c>
      <c r="AD211" s="13"/>
      <c r="AE211" s="13"/>
      <c r="AF211" s="13"/>
      <c r="AG211" s="13">
        <v>3400</v>
      </c>
      <c r="AH211" s="13">
        <f t="shared" si="113"/>
        <v>3400</v>
      </c>
      <c r="AI211" s="13"/>
      <c r="AJ211" s="13"/>
      <c r="AK211" s="13"/>
      <c r="AL211" s="13">
        <v>3400</v>
      </c>
      <c r="AM211" s="13">
        <f t="shared" si="114"/>
        <v>3400</v>
      </c>
      <c r="AN211" s="13"/>
      <c r="AO211" s="13"/>
      <c r="AP211" s="13"/>
      <c r="AQ211" s="13">
        <v>3400</v>
      </c>
    </row>
    <row r="212" spans="1:43" ht="35.1" customHeight="1" thickBot="1">
      <c r="A212" s="14"/>
      <c r="B212" s="22"/>
      <c r="C212" s="228"/>
      <c r="D212" s="228"/>
      <c r="E212" s="228"/>
      <c r="F212" s="13"/>
      <c r="G212" s="13"/>
      <c r="H212" s="13"/>
      <c r="I212" s="26"/>
      <c r="J212" s="13"/>
      <c r="K212" s="13"/>
      <c r="L212" s="13"/>
      <c r="M212" s="24" t="s">
        <v>355</v>
      </c>
      <c r="N212" s="13">
        <f t="shared" si="115"/>
        <v>1100</v>
      </c>
      <c r="O212" s="13">
        <f t="shared" si="115"/>
        <v>1100</v>
      </c>
      <c r="P212" s="13"/>
      <c r="Q212" s="13"/>
      <c r="R212" s="13"/>
      <c r="S212" s="13"/>
      <c r="T212" s="13"/>
      <c r="U212" s="13"/>
      <c r="V212" s="13">
        <v>1100</v>
      </c>
      <c r="W212" s="13">
        <v>1100</v>
      </c>
      <c r="X212" s="13">
        <f t="shared" si="116"/>
        <v>1300</v>
      </c>
      <c r="Y212" s="13"/>
      <c r="Z212" s="13"/>
      <c r="AA212" s="13"/>
      <c r="AB212" s="13">
        <v>1300</v>
      </c>
      <c r="AC212" s="13">
        <f t="shared" si="118"/>
        <v>1300</v>
      </c>
      <c r="AD212" s="13"/>
      <c r="AE212" s="13"/>
      <c r="AF212" s="13"/>
      <c r="AG212" s="13">
        <v>1300</v>
      </c>
      <c r="AH212" s="13">
        <f t="shared" si="113"/>
        <v>1300</v>
      </c>
      <c r="AI212" s="13"/>
      <c r="AJ212" s="13"/>
      <c r="AK212" s="13"/>
      <c r="AL212" s="13">
        <v>1300</v>
      </c>
      <c r="AM212" s="13">
        <f t="shared" si="114"/>
        <v>1300</v>
      </c>
      <c r="AN212" s="13"/>
      <c r="AO212" s="13"/>
      <c r="AP212" s="13"/>
      <c r="AQ212" s="13">
        <v>1300</v>
      </c>
    </row>
    <row r="213" spans="1:43" ht="35.1" customHeight="1" thickBot="1">
      <c r="A213" s="14"/>
      <c r="B213" s="31"/>
      <c r="C213" s="12"/>
      <c r="D213" s="13"/>
      <c r="E213" s="13"/>
      <c r="F213" s="45" t="s">
        <v>708</v>
      </c>
      <c r="G213" s="45" t="s">
        <v>97</v>
      </c>
      <c r="H213" s="45" t="s">
        <v>709</v>
      </c>
      <c r="I213" s="52" t="s">
        <v>710</v>
      </c>
      <c r="J213" s="232" t="s">
        <v>97</v>
      </c>
      <c r="K213" s="232" t="s">
        <v>707</v>
      </c>
      <c r="L213" s="13"/>
      <c r="M213" s="24" t="s">
        <v>356</v>
      </c>
      <c r="N213" s="13">
        <f>P213+R213+T213+V213</f>
        <v>50505</v>
      </c>
      <c r="O213" s="13">
        <f>Q213+S213+U213+W213</f>
        <v>50287.3</v>
      </c>
      <c r="P213" s="13"/>
      <c r="Q213" s="13"/>
      <c r="R213" s="13">
        <v>50000</v>
      </c>
      <c r="S213" s="13">
        <v>49784.4</v>
      </c>
      <c r="T213" s="13"/>
      <c r="U213" s="13"/>
      <c r="V213" s="13">
        <v>505</v>
      </c>
      <c r="W213" s="13">
        <v>502.9</v>
      </c>
      <c r="X213" s="13">
        <f>Y213+Z213+AA213+AB213</f>
        <v>0</v>
      </c>
      <c r="Y213" s="13"/>
      <c r="Z213" s="13">
        <v>0</v>
      </c>
      <c r="AA213" s="13"/>
      <c r="AB213" s="13">
        <v>0</v>
      </c>
      <c r="AC213" s="13">
        <v>0</v>
      </c>
      <c r="AD213" s="13"/>
      <c r="AE213" s="13"/>
      <c r="AF213" s="13"/>
      <c r="AG213" s="13">
        <v>0</v>
      </c>
      <c r="AH213" s="13">
        <v>0</v>
      </c>
      <c r="AI213" s="13"/>
      <c r="AJ213" s="13"/>
      <c r="AK213" s="13"/>
      <c r="AL213" s="13">
        <v>0</v>
      </c>
      <c r="AM213" s="13">
        <v>0</v>
      </c>
      <c r="AN213" s="13"/>
      <c r="AO213" s="13"/>
      <c r="AP213" s="13"/>
      <c r="AQ213" s="13">
        <v>0</v>
      </c>
    </row>
    <row r="214" spans="1:43" ht="35.1" customHeight="1" thickBot="1">
      <c r="A214" s="17" t="s">
        <v>357</v>
      </c>
      <c r="B214" s="18">
        <v>2544</v>
      </c>
      <c r="C214" s="19"/>
      <c r="D214" s="20"/>
      <c r="E214" s="20"/>
      <c r="F214" s="20"/>
      <c r="G214" s="20"/>
      <c r="H214" s="20"/>
      <c r="I214" s="20"/>
      <c r="J214" s="20"/>
      <c r="K214" s="20"/>
      <c r="L214" s="20">
        <v>20</v>
      </c>
      <c r="M214" s="20"/>
      <c r="N214" s="10">
        <f>N216+N215</f>
        <v>900</v>
      </c>
      <c r="O214" s="10">
        <f t="shared" ref="O214:AQ214" si="119">O216+O215</f>
        <v>495</v>
      </c>
      <c r="P214" s="10">
        <f t="shared" si="119"/>
        <v>0</v>
      </c>
      <c r="Q214" s="10">
        <f t="shared" si="119"/>
        <v>0</v>
      </c>
      <c r="R214" s="10">
        <f t="shared" si="119"/>
        <v>0</v>
      </c>
      <c r="S214" s="10">
        <f t="shared" si="119"/>
        <v>0</v>
      </c>
      <c r="T214" s="10">
        <f t="shared" si="119"/>
        <v>0</v>
      </c>
      <c r="U214" s="10">
        <f t="shared" si="119"/>
        <v>0</v>
      </c>
      <c r="V214" s="10">
        <f t="shared" si="119"/>
        <v>900</v>
      </c>
      <c r="W214" s="10">
        <f t="shared" si="119"/>
        <v>495</v>
      </c>
      <c r="X214" s="10">
        <f t="shared" si="119"/>
        <v>0</v>
      </c>
      <c r="Y214" s="10">
        <f t="shared" si="119"/>
        <v>0</v>
      </c>
      <c r="Z214" s="10">
        <f t="shared" si="119"/>
        <v>0</v>
      </c>
      <c r="AA214" s="10">
        <f t="shared" si="119"/>
        <v>0</v>
      </c>
      <c r="AB214" s="10">
        <f t="shared" si="119"/>
        <v>0</v>
      </c>
      <c r="AC214" s="10">
        <f t="shared" si="119"/>
        <v>0</v>
      </c>
      <c r="AD214" s="10">
        <f t="shared" si="119"/>
        <v>0</v>
      </c>
      <c r="AE214" s="10">
        <f t="shared" si="119"/>
        <v>0</v>
      </c>
      <c r="AF214" s="10">
        <f t="shared" si="119"/>
        <v>0</v>
      </c>
      <c r="AG214" s="10">
        <f t="shared" si="119"/>
        <v>0</v>
      </c>
      <c r="AH214" s="10">
        <f t="shared" si="119"/>
        <v>0</v>
      </c>
      <c r="AI214" s="10">
        <f t="shared" si="119"/>
        <v>0</v>
      </c>
      <c r="AJ214" s="10">
        <f t="shared" si="119"/>
        <v>0</v>
      </c>
      <c r="AK214" s="10">
        <f t="shared" si="119"/>
        <v>0</v>
      </c>
      <c r="AL214" s="10">
        <f t="shared" si="119"/>
        <v>0</v>
      </c>
      <c r="AM214" s="10">
        <f t="shared" si="119"/>
        <v>0</v>
      </c>
      <c r="AN214" s="10">
        <f t="shared" si="119"/>
        <v>0</v>
      </c>
      <c r="AO214" s="10">
        <f t="shared" si="119"/>
        <v>0</v>
      </c>
      <c r="AP214" s="10">
        <f t="shared" si="119"/>
        <v>0</v>
      </c>
      <c r="AQ214" s="10">
        <f t="shared" si="119"/>
        <v>0</v>
      </c>
    </row>
    <row r="215" spans="1:43" ht="35.1" customHeight="1" thickBot="1">
      <c r="A215" s="14"/>
      <c r="B215" s="31"/>
      <c r="C215" s="23" t="s">
        <v>103</v>
      </c>
      <c r="D215" s="23" t="s">
        <v>358</v>
      </c>
      <c r="E215" s="23" t="s">
        <v>143</v>
      </c>
      <c r="F215" s="23" t="s">
        <v>359</v>
      </c>
      <c r="G215" s="23" t="s">
        <v>360</v>
      </c>
      <c r="H215" s="23" t="s">
        <v>361</v>
      </c>
      <c r="I215" s="71" t="s">
        <v>721</v>
      </c>
      <c r="J215" s="45" t="s">
        <v>893</v>
      </c>
      <c r="K215" s="179" t="s">
        <v>717</v>
      </c>
      <c r="L215" s="13"/>
      <c r="M215" s="24" t="s">
        <v>362</v>
      </c>
      <c r="N215" s="13">
        <v>0</v>
      </c>
      <c r="O215" s="13">
        <v>0</v>
      </c>
      <c r="P215" s="13"/>
      <c r="Q215" s="13"/>
      <c r="R215" s="13"/>
      <c r="S215" s="13">
        <v>0</v>
      </c>
      <c r="T215" s="13">
        <v>0</v>
      </c>
      <c r="U215" s="13"/>
      <c r="V215" s="13">
        <v>0</v>
      </c>
      <c r="W215" s="13"/>
      <c r="X215" s="13"/>
      <c r="Y215" s="13"/>
      <c r="Z215" s="13"/>
      <c r="AA215" s="13"/>
      <c r="AB215" s="13">
        <v>0</v>
      </c>
      <c r="AC215" s="13">
        <v>0</v>
      </c>
      <c r="AD215" s="13"/>
      <c r="AE215" s="13"/>
      <c r="AF215" s="13"/>
      <c r="AG215" s="13">
        <v>0</v>
      </c>
      <c r="AH215" s="13">
        <v>0</v>
      </c>
      <c r="AI215" s="13"/>
      <c r="AJ215" s="13"/>
      <c r="AK215" s="13"/>
      <c r="AL215" s="13">
        <v>0</v>
      </c>
      <c r="AM215" s="13">
        <v>0</v>
      </c>
      <c r="AN215" s="13"/>
      <c r="AO215" s="13"/>
      <c r="AP215" s="13"/>
      <c r="AQ215" s="13">
        <v>0</v>
      </c>
    </row>
    <row r="216" spans="1:43" ht="35.1" customHeight="1" thickBot="1">
      <c r="A216" s="14"/>
      <c r="B216" s="31"/>
      <c r="C216" s="83"/>
      <c r="D216" s="13"/>
      <c r="E216" s="13"/>
      <c r="F216" s="13"/>
      <c r="G216" s="13"/>
      <c r="H216" s="13"/>
      <c r="I216" s="220"/>
      <c r="J216" s="24"/>
      <c r="K216" s="24"/>
      <c r="L216" s="13"/>
      <c r="M216" s="24" t="s">
        <v>363</v>
      </c>
      <c r="N216" s="13">
        <f>P216+R216+V216</f>
        <v>900</v>
      </c>
      <c r="O216" s="13">
        <f>Q216+S216+W216</f>
        <v>495</v>
      </c>
      <c r="P216" s="13"/>
      <c r="Q216" s="13"/>
      <c r="R216" s="13"/>
      <c r="S216" s="13"/>
      <c r="T216" s="13"/>
      <c r="U216" s="13"/>
      <c r="V216" s="13">
        <f>4000-2000-1100</f>
        <v>900</v>
      </c>
      <c r="W216" s="13">
        <v>495</v>
      </c>
      <c r="X216" s="13">
        <f>Y216+Z216+AB216</f>
        <v>0</v>
      </c>
      <c r="Y216" s="13"/>
      <c r="Z216" s="13"/>
      <c r="AA216" s="13"/>
      <c r="AB216" s="13">
        <v>0</v>
      </c>
      <c r="AC216" s="13">
        <f>AG216</f>
        <v>0</v>
      </c>
      <c r="AD216" s="13"/>
      <c r="AE216" s="13"/>
      <c r="AF216" s="13"/>
      <c r="AG216" s="13">
        <v>0</v>
      </c>
      <c r="AH216" s="13">
        <v>0</v>
      </c>
      <c r="AI216" s="13"/>
      <c r="AJ216" s="13"/>
      <c r="AK216" s="13"/>
      <c r="AL216" s="13">
        <v>0</v>
      </c>
      <c r="AM216" s="13">
        <v>0</v>
      </c>
      <c r="AN216" s="13"/>
      <c r="AO216" s="13"/>
      <c r="AP216" s="13"/>
      <c r="AQ216" s="13">
        <v>0</v>
      </c>
    </row>
    <row r="217" spans="1:43" ht="35.1" customHeight="1" thickBot="1">
      <c r="A217" s="17" t="s">
        <v>364</v>
      </c>
      <c r="B217" s="18">
        <v>2553</v>
      </c>
      <c r="C217" s="19"/>
      <c r="D217" s="20"/>
      <c r="E217" s="20"/>
      <c r="F217" s="20"/>
      <c r="G217" s="20"/>
      <c r="H217" s="20"/>
      <c r="I217" s="20"/>
      <c r="J217" s="20"/>
      <c r="K217" s="20"/>
      <c r="L217" s="20">
        <v>2</v>
      </c>
      <c r="M217" s="20"/>
      <c r="N217" s="20">
        <f>N220</f>
        <v>700</v>
      </c>
      <c r="O217" s="20">
        <f t="shared" ref="O217:AQ217" si="120">O220</f>
        <v>700</v>
      </c>
      <c r="P217" s="20">
        <f t="shared" si="120"/>
        <v>0</v>
      </c>
      <c r="Q217" s="20">
        <f t="shared" si="120"/>
        <v>0</v>
      </c>
      <c r="R217" s="20">
        <f t="shared" si="120"/>
        <v>665</v>
      </c>
      <c r="S217" s="20">
        <f t="shared" si="120"/>
        <v>665</v>
      </c>
      <c r="T217" s="20">
        <f t="shared" si="120"/>
        <v>0</v>
      </c>
      <c r="U217" s="20">
        <f t="shared" si="120"/>
        <v>0</v>
      </c>
      <c r="V217" s="20">
        <f t="shared" si="120"/>
        <v>35</v>
      </c>
      <c r="W217" s="20">
        <f t="shared" si="120"/>
        <v>35</v>
      </c>
      <c r="X217" s="20">
        <f t="shared" si="120"/>
        <v>200</v>
      </c>
      <c r="Y217" s="20">
        <f t="shared" si="120"/>
        <v>0</v>
      </c>
      <c r="Z217" s="20">
        <f t="shared" si="120"/>
        <v>0</v>
      </c>
      <c r="AA217" s="20">
        <f t="shared" si="120"/>
        <v>0</v>
      </c>
      <c r="AB217" s="20">
        <f t="shared" si="120"/>
        <v>200</v>
      </c>
      <c r="AC217" s="20">
        <f t="shared" si="120"/>
        <v>200</v>
      </c>
      <c r="AD217" s="20">
        <f t="shared" si="120"/>
        <v>0</v>
      </c>
      <c r="AE217" s="20">
        <f t="shared" si="120"/>
        <v>0</v>
      </c>
      <c r="AF217" s="20">
        <f t="shared" si="120"/>
        <v>0</v>
      </c>
      <c r="AG217" s="20">
        <f t="shared" si="120"/>
        <v>200</v>
      </c>
      <c r="AH217" s="20">
        <f t="shared" si="120"/>
        <v>200</v>
      </c>
      <c r="AI217" s="20">
        <f t="shared" si="120"/>
        <v>0</v>
      </c>
      <c r="AJ217" s="20">
        <f t="shared" si="120"/>
        <v>0</v>
      </c>
      <c r="AK217" s="20">
        <f t="shared" si="120"/>
        <v>0</v>
      </c>
      <c r="AL217" s="20">
        <f t="shared" si="120"/>
        <v>200</v>
      </c>
      <c r="AM217" s="20">
        <f t="shared" si="120"/>
        <v>200</v>
      </c>
      <c r="AN217" s="20">
        <f t="shared" si="120"/>
        <v>0</v>
      </c>
      <c r="AO217" s="20">
        <f t="shared" si="120"/>
        <v>0</v>
      </c>
      <c r="AP217" s="20">
        <f t="shared" si="120"/>
        <v>0</v>
      </c>
      <c r="AQ217" s="20">
        <f t="shared" si="120"/>
        <v>200</v>
      </c>
    </row>
    <row r="218" spans="1:43" ht="35.1" customHeight="1" thickBot="1">
      <c r="A218" s="14"/>
      <c r="B218" s="31"/>
      <c r="C218" s="23" t="s">
        <v>365</v>
      </c>
      <c r="D218" s="23" t="s">
        <v>366</v>
      </c>
      <c r="E218" s="23" t="s">
        <v>56</v>
      </c>
      <c r="F218" s="24" t="s">
        <v>367</v>
      </c>
      <c r="G218" s="45" t="s">
        <v>97</v>
      </c>
      <c r="H218" s="45" t="s">
        <v>724</v>
      </c>
      <c r="I218" s="71" t="s">
        <v>721</v>
      </c>
      <c r="J218" s="45" t="s">
        <v>821</v>
      </c>
      <c r="K218" s="179" t="s">
        <v>717</v>
      </c>
      <c r="L218" s="13"/>
      <c r="M218" s="24" t="s">
        <v>936</v>
      </c>
      <c r="N218" s="13">
        <f t="shared" ref="N218:N219" si="121">P218+R218+V218</f>
        <v>0</v>
      </c>
      <c r="O218" s="13">
        <f>Q218+S218+U218+W218</f>
        <v>0</v>
      </c>
      <c r="P218" s="13"/>
      <c r="Q218" s="13"/>
      <c r="R218" s="13"/>
      <c r="S218" s="13"/>
      <c r="T218" s="13"/>
      <c r="U218" s="13"/>
      <c r="V218" s="13"/>
      <c r="W218" s="13"/>
      <c r="X218" s="13">
        <f>Y218+Z218+AB218</f>
        <v>0</v>
      </c>
      <c r="Y218" s="13"/>
      <c r="Z218" s="13">
        <v>0</v>
      </c>
      <c r="AA218" s="13"/>
      <c r="AB218" s="13">
        <f>200-200</f>
        <v>0</v>
      </c>
      <c r="AC218" s="13">
        <f>AD218+AE218+AG218</f>
        <v>0</v>
      </c>
      <c r="AD218" s="13"/>
      <c r="AE218" s="13">
        <v>0</v>
      </c>
      <c r="AF218" s="13"/>
      <c r="AG218" s="13">
        <f>200-200</f>
        <v>0</v>
      </c>
      <c r="AH218" s="13">
        <f>AI218+AJ218+AK218+AL218</f>
        <v>0</v>
      </c>
      <c r="AI218" s="13"/>
      <c r="AJ218" s="13">
        <v>0</v>
      </c>
      <c r="AK218" s="13"/>
      <c r="AL218" s="13">
        <f>200-200</f>
        <v>0</v>
      </c>
      <c r="AM218" s="13">
        <f>AN218+AO218+AP218+AQ218</f>
        <v>0</v>
      </c>
      <c r="AN218" s="13"/>
      <c r="AO218" s="13">
        <v>0</v>
      </c>
      <c r="AP218" s="13"/>
      <c r="AQ218" s="13">
        <f>200-200</f>
        <v>0</v>
      </c>
    </row>
    <row r="219" spans="1:43" ht="35.1" customHeight="1" thickBot="1">
      <c r="A219" s="14"/>
      <c r="B219" s="31"/>
      <c r="C219" s="225" t="s">
        <v>103</v>
      </c>
      <c r="D219" s="23" t="s">
        <v>368</v>
      </c>
      <c r="E219" s="23" t="s">
        <v>105</v>
      </c>
      <c r="F219" s="24"/>
      <c r="G219" s="13"/>
      <c r="H219" s="13"/>
      <c r="I219" s="205" t="s">
        <v>369</v>
      </c>
      <c r="J219" s="224" t="s">
        <v>97</v>
      </c>
      <c r="K219" s="182" t="s">
        <v>894</v>
      </c>
      <c r="L219" s="13"/>
      <c r="M219" s="24" t="s">
        <v>370</v>
      </c>
      <c r="N219" s="13">
        <f t="shared" si="121"/>
        <v>0</v>
      </c>
      <c r="O219" s="13">
        <f t="shared" ref="O219:O220" si="122">Q219+S219+U219+W219</f>
        <v>0</v>
      </c>
      <c r="P219" s="13"/>
      <c r="Q219" s="13"/>
      <c r="R219" s="13"/>
      <c r="S219" s="13"/>
      <c r="T219" s="13"/>
      <c r="U219" s="13"/>
      <c r="V219" s="13"/>
      <c r="W219" s="13"/>
      <c r="X219" s="13">
        <f>Y219+Z219+AB219</f>
        <v>0</v>
      </c>
      <c r="Y219" s="13"/>
      <c r="Z219" s="13"/>
      <c r="AA219" s="13"/>
      <c r="AB219" s="13"/>
      <c r="AC219" s="13">
        <f>AD219+AE219+AG219</f>
        <v>0</v>
      </c>
      <c r="AD219" s="13"/>
      <c r="AE219" s="13"/>
      <c r="AF219" s="13"/>
      <c r="AG219" s="13"/>
      <c r="AH219" s="13">
        <f>AI219+AJ219+AK219+AL219</f>
        <v>0</v>
      </c>
      <c r="AI219" s="13"/>
      <c r="AJ219" s="13"/>
      <c r="AK219" s="13"/>
      <c r="AL219" s="13"/>
      <c r="AM219" s="13">
        <f>AN219+AO219+AP219+AQ219</f>
        <v>0</v>
      </c>
      <c r="AN219" s="13"/>
      <c r="AO219" s="13"/>
      <c r="AP219" s="13"/>
      <c r="AQ219" s="13">
        <f t="shared" ref="AQ219" si="123">200-200</f>
        <v>0</v>
      </c>
    </row>
    <row r="220" spans="1:43" ht="35.1" customHeight="1" thickBot="1">
      <c r="A220" s="14"/>
      <c r="B220" s="31"/>
      <c r="C220" s="225" t="s">
        <v>819</v>
      </c>
      <c r="D220" s="226" t="s">
        <v>97</v>
      </c>
      <c r="E220" s="227" t="s">
        <v>820</v>
      </c>
      <c r="F220" s="24"/>
      <c r="G220" s="13"/>
      <c r="H220" s="13"/>
      <c r="I220" s="205" t="s">
        <v>371</v>
      </c>
      <c r="J220" s="224" t="s">
        <v>97</v>
      </c>
      <c r="K220" s="182" t="s">
        <v>707</v>
      </c>
      <c r="L220" s="13"/>
      <c r="M220" s="24" t="s">
        <v>372</v>
      </c>
      <c r="N220" s="13">
        <f>P220+R220+V220</f>
        <v>700</v>
      </c>
      <c r="O220" s="13">
        <f t="shared" si="122"/>
        <v>700</v>
      </c>
      <c r="P220" s="13"/>
      <c r="Q220" s="13"/>
      <c r="R220" s="13">
        <v>665</v>
      </c>
      <c r="S220" s="13">
        <v>665</v>
      </c>
      <c r="T220" s="249"/>
      <c r="U220" s="13"/>
      <c r="V220" s="13">
        <f>200-165</f>
        <v>35</v>
      </c>
      <c r="W220" s="13">
        <v>35</v>
      </c>
      <c r="X220" s="13">
        <f>Y220+Z220+AB220</f>
        <v>200</v>
      </c>
      <c r="Y220" s="13"/>
      <c r="Z220" s="13">
        <v>0</v>
      </c>
      <c r="AA220" s="13"/>
      <c r="AB220" s="13">
        <v>200</v>
      </c>
      <c r="AC220" s="13">
        <f>AD220+AE220+AG220</f>
        <v>200</v>
      </c>
      <c r="AD220" s="13"/>
      <c r="AE220" s="13"/>
      <c r="AF220" s="13"/>
      <c r="AG220" s="13">
        <v>200</v>
      </c>
      <c r="AH220" s="13">
        <f>AI220+AJ220+AK220+AL220</f>
        <v>200</v>
      </c>
      <c r="AI220" s="13"/>
      <c r="AJ220" s="13"/>
      <c r="AK220" s="13"/>
      <c r="AL220" s="13">
        <v>200</v>
      </c>
      <c r="AM220" s="13">
        <f>AN220+AO220+AP220+AQ220</f>
        <v>200</v>
      </c>
      <c r="AN220" s="13"/>
      <c r="AO220" s="13"/>
      <c r="AP220" s="13"/>
      <c r="AQ220" s="13">
        <v>200</v>
      </c>
    </row>
    <row r="221" spans="1:43" ht="35.1" customHeight="1" thickBot="1">
      <c r="A221" s="17" t="s">
        <v>373</v>
      </c>
      <c r="B221" s="18">
        <v>2555</v>
      </c>
      <c r="C221" s="19"/>
      <c r="D221" s="20"/>
      <c r="E221" s="20"/>
      <c r="F221" s="20"/>
      <c r="G221" s="20"/>
      <c r="H221" s="20"/>
      <c r="I221" s="20"/>
      <c r="J221" s="20"/>
      <c r="K221" s="20"/>
      <c r="L221" s="20">
        <v>6</v>
      </c>
      <c r="M221" s="20"/>
      <c r="N221" s="20">
        <f>N222+N223+N224+N225</f>
        <v>22349.9</v>
      </c>
      <c r="O221" s="20">
        <f t="shared" ref="O221:AQ221" si="124">O222+O223+O224+O225</f>
        <v>22300.400000000001</v>
      </c>
      <c r="P221" s="20">
        <f t="shared" si="124"/>
        <v>0</v>
      </c>
      <c r="Q221" s="20">
        <f t="shared" si="124"/>
        <v>0</v>
      </c>
      <c r="R221" s="20">
        <f t="shared" si="124"/>
        <v>934.5</v>
      </c>
      <c r="S221" s="20">
        <f t="shared" si="124"/>
        <v>934.5</v>
      </c>
      <c r="T221" s="20">
        <f t="shared" si="124"/>
        <v>0</v>
      </c>
      <c r="U221" s="20">
        <f t="shared" si="124"/>
        <v>0</v>
      </c>
      <c r="V221" s="20">
        <f t="shared" si="124"/>
        <v>21415.4</v>
      </c>
      <c r="W221" s="20">
        <f t="shared" si="124"/>
        <v>21365.9</v>
      </c>
      <c r="X221" s="20">
        <f t="shared" si="124"/>
        <v>19305.100000000002</v>
      </c>
      <c r="Y221" s="20">
        <f t="shared" si="124"/>
        <v>0</v>
      </c>
      <c r="Z221" s="20">
        <f t="shared" si="124"/>
        <v>909.9</v>
      </c>
      <c r="AA221" s="20">
        <f t="shared" si="124"/>
        <v>0</v>
      </c>
      <c r="AB221" s="20">
        <f t="shared" si="124"/>
        <v>18395.2</v>
      </c>
      <c r="AC221" s="20">
        <f t="shared" si="124"/>
        <v>19305.100000000002</v>
      </c>
      <c r="AD221" s="20">
        <f t="shared" si="124"/>
        <v>0</v>
      </c>
      <c r="AE221" s="20">
        <f t="shared" si="124"/>
        <v>909.9</v>
      </c>
      <c r="AF221" s="20">
        <f t="shared" si="124"/>
        <v>0</v>
      </c>
      <c r="AG221" s="20">
        <f t="shared" si="124"/>
        <v>18395.2</v>
      </c>
      <c r="AH221" s="20">
        <f t="shared" si="124"/>
        <v>19305.100000000002</v>
      </c>
      <c r="AI221" s="20">
        <f t="shared" si="124"/>
        <v>0</v>
      </c>
      <c r="AJ221" s="20">
        <f t="shared" si="124"/>
        <v>909.9</v>
      </c>
      <c r="AK221" s="20">
        <f t="shared" si="124"/>
        <v>0</v>
      </c>
      <c r="AL221" s="20">
        <f t="shared" si="124"/>
        <v>18395.2</v>
      </c>
      <c r="AM221" s="20">
        <f t="shared" si="124"/>
        <v>19305.100000000002</v>
      </c>
      <c r="AN221" s="20">
        <f t="shared" si="124"/>
        <v>0</v>
      </c>
      <c r="AO221" s="20">
        <f t="shared" si="124"/>
        <v>909.9</v>
      </c>
      <c r="AP221" s="20">
        <f t="shared" si="124"/>
        <v>0</v>
      </c>
      <c r="AQ221" s="20">
        <f t="shared" si="124"/>
        <v>18395.2</v>
      </c>
    </row>
    <row r="222" spans="1:43" ht="35.1" customHeight="1" thickBot="1">
      <c r="A222" s="14"/>
      <c r="B222" s="22"/>
      <c r="C222" s="228"/>
      <c r="D222" s="228"/>
      <c r="E222" s="228"/>
      <c r="F222" s="26" t="s">
        <v>374</v>
      </c>
      <c r="G222" s="228" t="s">
        <v>147</v>
      </c>
      <c r="H222" s="228" t="s">
        <v>148</v>
      </c>
      <c r="I222" s="71" t="s">
        <v>721</v>
      </c>
      <c r="J222" s="45" t="s">
        <v>729</v>
      </c>
      <c r="K222" s="179" t="s">
        <v>717</v>
      </c>
      <c r="L222" s="13"/>
      <c r="M222" s="24" t="s">
        <v>378</v>
      </c>
      <c r="N222" s="13">
        <f>P222+R222+T222+V222</f>
        <v>4650.9000000000005</v>
      </c>
      <c r="O222" s="13">
        <f t="shared" ref="O222:O225" si="125">Q222+S222+U222+W222</f>
        <v>4650.8999999999996</v>
      </c>
      <c r="P222" s="13"/>
      <c r="Q222" s="13"/>
      <c r="R222" s="13"/>
      <c r="S222" s="13"/>
      <c r="T222" s="13"/>
      <c r="U222" s="13"/>
      <c r="V222" s="13">
        <f>3352+284+338.9+37.9+275.3+407.4-129+35+94-407.4+67.5+45.3+50.1-0.1+200</f>
        <v>4650.9000000000005</v>
      </c>
      <c r="W222" s="13">
        <v>4650.8999999999996</v>
      </c>
      <c r="X222" s="13">
        <f>Y222+Z222+AA222+AB222</f>
        <v>1416.5</v>
      </c>
      <c r="Y222" s="13"/>
      <c r="Z222" s="13"/>
      <c r="AA222" s="13"/>
      <c r="AB222" s="13">
        <v>1416.5</v>
      </c>
      <c r="AC222" s="13">
        <f>AD222+AE222+AF222+AG222</f>
        <v>1416.5</v>
      </c>
      <c r="AD222" s="13"/>
      <c r="AE222" s="13"/>
      <c r="AF222" s="13"/>
      <c r="AG222" s="13">
        <v>1416.5</v>
      </c>
      <c r="AH222" s="13">
        <f t="shared" ref="AH222:AH225" si="126">AI222+AJ222+AK222+AL222</f>
        <v>1416.5</v>
      </c>
      <c r="AI222" s="13"/>
      <c r="AJ222" s="13"/>
      <c r="AK222" s="13"/>
      <c r="AL222" s="13">
        <v>1416.5</v>
      </c>
      <c r="AM222" s="13">
        <f t="shared" ref="AM222:AM225" si="127">AN222+AO222+AP222+AQ222</f>
        <v>1416.5</v>
      </c>
      <c r="AN222" s="13"/>
      <c r="AO222" s="13"/>
      <c r="AP222" s="13"/>
      <c r="AQ222" s="13">
        <v>1416.5</v>
      </c>
    </row>
    <row r="223" spans="1:43" ht="35.1" customHeight="1" thickBot="1">
      <c r="A223" s="14"/>
      <c r="B223" s="22"/>
      <c r="C223" s="228" t="s">
        <v>293</v>
      </c>
      <c r="D223" s="228" t="s">
        <v>318</v>
      </c>
      <c r="E223" s="228" t="s">
        <v>319</v>
      </c>
      <c r="F223" s="23" t="s">
        <v>375</v>
      </c>
      <c r="G223" s="23" t="s">
        <v>376</v>
      </c>
      <c r="H223" s="23" t="s">
        <v>377</v>
      </c>
      <c r="I223" s="228" t="s">
        <v>728</v>
      </c>
      <c r="J223" s="228" t="s">
        <v>147</v>
      </c>
      <c r="K223" s="7" t="s">
        <v>753</v>
      </c>
      <c r="L223" s="13"/>
      <c r="M223" s="24" t="s">
        <v>379</v>
      </c>
      <c r="N223" s="13">
        <f>P223+R223+T223+V223</f>
        <v>1288.5</v>
      </c>
      <c r="O223" s="13">
        <f t="shared" si="125"/>
        <v>1239</v>
      </c>
      <c r="P223" s="13"/>
      <c r="Q223" s="13"/>
      <c r="R223" s="13"/>
      <c r="S223" s="13"/>
      <c r="T223" s="13"/>
      <c r="U223" s="13"/>
      <c r="V223" s="13">
        <v>1288.5</v>
      </c>
      <c r="W223" s="13">
        <v>1239</v>
      </c>
      <c r="X223" s="13">
        <f>Y223+Z223+AA223+AB223</f>
        <v>1463.7</v>
      </c>
      <c r="Y223" s="13"/>
      <c r="Z223" s="13"/>
      <c r="AA223" s="13"/>
      <c r="AB223" s="13">
        <v>1463.7</v>
      </c>
      <c r="AC223" s="13">
        <f>AD223+AE223+AF223+AG223</f>
        <v>1463.7</v>
      </c>
      <c r="AD223" s="13"/>
      <c r="AE223" s="13"/>
      <c r="AF223" s="13"/>
      <c r="AG223" s="13">
        <v>1463.7</v>
      </c>
      <c r="AH223" s="13">
        <f t="shared" si="126"/>
        <v>1463.7</v>
      </c>
      <c r="AI223" s="13"/>
      <c r="AJ223" s="13"/>
      <c r="AK223" s="13"/>
      <c r="AL223" s="13">
        <v>1463.7</v>
      </c>
      <c r="AM223" s="13">
        <f t="shared" si="127"/>
        <v>1463.7</v>
      </c>
      <c r="AN223" s="13"/>
      <c r="AO223" s="13"/>
      <c r="AP223" s="13"/>
      <c r="AQ223" s="13">
        <v>1463.7</v>
      </c>
    </row>
    <row r="224" spans="1:43" ht="35.1" customHeight="1" thickBot="1">
      <c r="A224" s="14"/>
      <c r="B224" s="22"/>
      <c r="C224" s="228"/>
      <c r="D224" s="228"/>
      <c r="E224" s="228"/>
      <c r="F224" s="228" t="s">
        <v>713</v>
      </c>
      <c r="G224" s="45" t="s">
        <v>97</v>
      </c>
      <c r="H224" s="179" t="s">
        <v>714</v>
      </c>
      <c r="I224" s="69"/>
      <c r="J224" s="228"/>
      <c r="K224" s="7"/>
      <c r="L224" s="13"/>
      <c r="M224" s="24" t="s">
        <v>380</v>
      </c>
      <c r="N224" s="13">
        <f>P224+R224+T224+V224</f>
        <v>15298</v>
      </c>
      <c r="O224" s="13">
        <f t="shared" si="125"/>
        <v>15298</v>
      </c>
      <c r="P224" s="13"/>
      <c r="Q224" s="13"/>
      <c r="R224" s="13"/>
      <c r="S224" s="13"/>
      <c r="T224" s="13"/>
      <c r="U224" s="13"/>
      <c r="V224" s="13">
        <f>13874.1+1214.9+0.1-200+409-0.1</f>
        <v>15298</v>
      </c>
      <c r="W224" s="13">
        <v>15298</v>
      </c>
      <c r="X224" s="13">
        <f>Y224+Z224+AA224+AB224</f>
        <v>15515</v>
      </c>
      <c r="Y224" s="13"/>
      <c r="Z224" s="13"/>
      <c r="AA224" s="13"/>
      <c r="AB224" s="13">
        <v>15515</v>
      </c>
      <c r="AC224" s="13">
        <f>AD224+AE224+AF224+AG224</f>
        <v>15515</v>
      </c>
      <c r="AD224" s="13"/>
      <c r="AE224" s="13"/>
      <c r="AF224" s="13"/>
      <c r="AG224" s="13">
        <v>15515</v>
      </c>
      <c r="AH224" s="13">
        <f t="shared" si="126"/>
        <v>15515</v>
      </c>
      <c r="AI224" s="13"/>
      <c r="AJ224" s="13"/>
      <c r="AK224" s="13"/>
      <c r="AL224" s="13">
        <v>15515</v>
      </c>
      <c r="AM224" s="13">
        <f t="shared" si="127"/>
        <v>15515</v>
      </c>
      <c r="AN224" s="13"/>
      <c r="AO224" s="13"/>
      <c r="AP224" s="13"/>
      <c r="AQ224" s="13">
        <v>15515</v>
      </c>
    </row>
    <row r="225" spans="1:43" ht="35.1" customHeight="1" thickBot="1">
      <c r="A225" s="14"/>
      <c r="B225" s="22"/>
      <c r="C225" s="228"/>
      <c r="D225" s="228"/>
      <c r="E225" s="228"/>
      <c r="F225" s="228"/>
      <c r="G225" s="228"/>
      <c r="H225" s="228"/>
      <c r="I225" s="228" t="s">
        <v>932</v>
      </c>
      <c r="J225" s="228" t="s">
        <v>147</v>
      </c>
      <c r="K225" s="7" t="s">
        <v>933</v>
      </c>
      <c r="L225" s="13"/>
      <c r="M225" s="24" t="s">
        <v>381</v>
      </c>
      <c r="N225" s="13">
        <f>P225+R225+T225+V225</f>
        <v>1112.5</v>
      </c>
      <c r="O225" s="13">
        <f t="shared" si="125"/>
        <v>1112.5</v>
      </c>
      <c r="P225" s="13"/>
      <c r="Q225" s="13"/>
      <c r="R225" s="13">
        <v>934.5</v>
      </c>
      <c r="S225" s="13">
        <v>934.5</v>
      </c>
      <c r="T225" s="13"/>
      <c r="U225" s="13"/>
      <c r="V225" s="13">
        <v>178</v>
      </c>
      <c r="W225" s="13">
        <v>178</v>
      </c>
      <c r="X225" s="13">
        <f>Y225+Z225+AA225+AB225</f>
        <v>909.9</v>
      </c>
      <c r="Y225" s="13"/>
      <c r="Z225" s="13">
        <v>909.9</v>
      </c>
      <c r="AA225" s="13"/>
      <c r="AB225" s="13">
        <v>0</v>
      </c>
      <c r="AC225" s="13">
        <f>AD225+AE225+AF225+AG225</f>
        <v>909.9</v>
      </c>
      <c r="AD225" s="13"/>
      <c r="AE225" s="13">
        <v>909.9</v>
      </c>
      <c r="AF225" s="13"/>
      <c r="AG225" s="13">
        <v>0</v>
      </c>
      <c r="AH225" s="13">
        <f t="shared" si="126"/>
        <v>909.9</v>
      </c>
      <c r="AI225" s="13"/>
      <c r="AJ225" s="13">
        <v>909.9</v>
      </c>
      <c r="AK225" s="13"/>
      <c r="AL225" s="13">
        <v>0</v>
      </c>
      <c r="AM225" s="13">
        <f t="shared" si="127"/>
        <v>909.9</v>
      </c>
      <c r="AN225" s="13"/>
      <c r="AO225" s="13">
        <v>909.9</v>
      </c>
      <c r="AP225" s="13"/>
      <c r="AQ225" s="13">
        <v>0</v>
      </c>
    </row>
    <row r="226" spans="1:43" ht="35.1" customHeight="1">
      <c r="A226" s="84" t="s">
        <v>382</v>
      </c>
      <c r="B226" s="85">
        <v>2557</v>
      </c>
      <c r="C226" s="19"/>
      <c r="D226" s="20"/>
      <c r="E226" s="20"/>
      <c r="F226" s="20"/>
      <c r="G226" s="20"/>
      <c r="H226" s="20"/>
      <c r="I226" s="20"/>
      <c r="J226" s="20"/>
      <c r="K226" s="20"/>
      <c r="L226" s="20">
        <v>23</v>
      </c>
      <c r="M226" s="20"/>
      <c r="N226" s="20">
        <f>N227</f>
        <v>50</v>
      </c>
      <c r="O226" s="20">
        <f t="shared" ref="O226:AQ226" si="128">O227</f>
        <v>50</v>
      </c>
      <c r="P226" s="20">
        <f t="shared" si="128"/>
        <v>0</v>
      </c>
      <c r="Q226" s="20">
        <f t="shared" si="128"/>
        <v>0</v>
      </c>
      <c r="R226" s="20">
        <f t="shared" si="128"/>
        <v>0</v>
      </c>
      <c r="S226" s="20">
        <f t="shared" si="128"/>
        <v>0</v>
      </c>
      <c r="T226" s="20">
        <f t="shared" si="128"/>
        <v>0</v>
      </c>
      <c r="U226" s="20">
        <f t="shared" si="128"/>
        <v>0</v>
      </c>
      <c r="V226" s="20">
        <f t="shared" si="128"/>
        <v>50</v>
      </c>
      <c r="W226" s="20">
        <f t="shared" si="128"/>
        <v>50</v>
      </c>
      <c r="X226" s="20">
        <f t="shared" si="128"/>
        <v>50</v>
      </c>
      <c r="Y226" s="20">
        <f t="shared" si="128"/>
        <v>0</v>
      </c>
      <c r="Z226" s="20">
        <f t="shared" si="128"/>
        <v>0</v>
      </c>
      <c r="AA226" s="20">
        <f t="shared" si="128"/>
        <v>0</v>
      </c>
      <c r="AB226" s="20">
        <f t="shared" si="128"/>
        <v>50</v>
      </c>
      <c r="AC226" s="20">
        <f t="shared" si="128"/>
        <v>50</v>
      </c>
      <c r="AD226" s="20">
        <f t="shared" si="128"/>
        <v>0</v>
      </c>
      <c r="AE226" s="20">
        <f t="shared" si="128"/>
        <v>0</v>
      </c>
      <c r="AF226" s="20">
        <f t="shared" si="128"/>
        <v>0</v>
      </c>
      <c r="AG226" s="20">
        <f t="shared" si="128"/>
        <v>50</v>
      </c>
      <c r="AH226" s="20">
        <f t="shared" si="128"/>
        <v>50</v>
      </c>
      <c r="AI226" s="20">
        <f t="shared" si="128"/>
        <v>0</v>
      </c>
      <c r="AJ226" s="20">
        <f t="shared" si="128"/>
        <v>0</v>
      </c>
      <c r="AK226" s="20">
        <f t="shared" si="128"/>
        <v>0</v>
      </c>
      <c r="AL226" s="20">
        <f t="shared" si="128"/>
        <v>50</v>
      </c>
      <c r="AM226" s="20">
        <f t="shared" si="128"/>
        <v>50</v>
      </c>
      <c r="AN226" s="20">
        <f t="shared" si="128"/>
        <v>0</v>
      </c>
      <c r="AO226" s="20">
        <f t="shared" si="128"/>
        <v>0</v>
      </c>
      <c r="AP226" s="20">
        <f t="shared" si="128"/>
        <v>0</v>
      </c>
      <c r="AQ226" s="20">
        <f t="shared" si="128"/>
        <v>50</v>
      </c>
    </row>
    <row r="227" spans="1:43" ht="35.1" customHeight="1">
      <c r="A227" s="86"/>
      <c r="B227" s="41"/>
      <c r="C227" s="45" t="s">
        <v>103</v>
      </c>
      <c r="D227" s="24" t="s">
        <v>383</v>
      </c>
      <c r="E227" s="24" t="s">
        <v>105</v>
      </c>
      <c r="F227" s="24"/>
      <c r="G227" s="24"/>
      <c r="H227" s="24"/>
      <c r="I227" s="71" t="s">
        <v>721</v>
      </c>
      <c r="J227" s="45" t="s">
        <v>818</v>
      </c>
      <c r="K227" s="179" t="s">
        <v>717</v>
      </c>
      <c r="L227" s="13"/>
      <c r="M227" s="24" t="s">
        <v>384</v>
      </c>
      <c r="N227" s="13">
        <f>V227</f>
        <v>50</v>
      </c>
      <c r="O227" s="13">
        <f>Q227+S227+U227+W227</f>
        <v>50</v>
      </c>
      <c r="P227" s="13"/>
      <c r="Q227" s="13"/>
      <c r="R227" s="13"/>
      <c r="S227" s="13"/>
      <c r="T227" s="13"/>
      <c r="U227" s="13"/>
      <c r="V227" s="13">
        <f>30+20</f>
        <v>50</v>
      </c>
      <c r="W227" s="13">
        <v>50</v>
      </c>
      <c r="X227" s="13">
        <f>AB227</f>
        <v>50</v>
      </c>
      <c r="Y227" s="13"/>
      <c r="Z227" s="13"/>
      <c r="AA227" s="13"/>
      <c r="AB227" s="13">
        <v>50</v>
      </c>
      <c r="AC227" s="13">
        <f>AG227</f>
        <v>50</v>
      </c>
      <c r="AD227" s="13"/>
      <c r="AE227" s="13"/>
      <c r="AF227" s="13"/>
      <c r="AG227" s="13">
        <v>50</v>
      </c>
      <c r="AH227" s="13">
        <f>AL227</f>
        <v>50</v>
      </c>
      <c r="AI227" s="13"/>
      <c r="AJ227" s="13"/>
      <c r="AK227" s="13"/>
      <c r="AL227" s="13">
        <v>50</v>
      </c>
      <c r="AM227" s="13">
        <f>AQ227</f>
        <v>50</v>
      </c>
      <c r="AN227" s="13"/>
      <c r="AO227" s="13"/>
      <c r="AP227" s="13"/>
      <c r="AQ227" s="13">
        <v>50</v>
      </c>
    </row>
    <row r="228" spans="1:43" ht="35.1" customHeight="1">
      <c r="A228" s="86"/>
      <c r="B228" s="41"/>
      <c r="C228" s="24" t="s">
        <v>913</v>
      </c>
      <c r="D228" s="24" t="s">
        <v>97</v>
      </c>
      <c r="E228" s="24" t="s">
        <v>914</v>
      </c>
      <c r="F228" s="24"/>
      <c r="G228" s="24"/>
      <c r="H228" s="24"/>
      <c r="I228" s="26" t="s">
        <v>911</v>
      </c>
      <c r="J228" s="71" t="s">
        <v>97</v>
      </c>
      <c r="K228" s="264" t="s">
        <v>912</v>
      </c>
      <c r="L228" s="13"/>
      <c r="M228" s="24"/>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row>
    <row r="229" spans="1:43" ht="35.1" customHeight="1">
      <c r="A229" s="87" t="s">
        <v>385</v>
      </c>
      <c r="B229" s="9">
        <v>2600</v>
      </c>
      <c r="C229" s="9" t="s">
        <v>27</v>
      </c>
      <c r="D229" s="9" t="s">
        <v>27</v>
      </c>
      <c r="E229" s="9" t="s">
        <v>27</v>
      </c>
      <c r="F229" s="9"/>
      <c r="G229" s="9"/>
      <c r="H229" s="9"/>
      <c r="I229" s="9" t="s">
        <v>27</v>
      </c>
      <c r="J229" s="9" t="s">
        <v>27</v>
      </c>
      <c r="K229" s="9" t="s">
        <v>27</v>
      </c>
      <c r="L229" s="9" t="s">
        <v>27</v>
      </c>
      <c r="M229" s="9" t="s">
        <v>27</v>
      </c>
      <c r="N229" s="20">
        <f t="shared" ref="N229:AQ229" si="129">N231+N268+N292+N294+N308+N305+N311+N314</f>
        <v>203914.1</v>
      </c>
      <c r="O229" s="20">
        <f t="shared" si="129"/>
        <v>196025.9</v>
      </c>
      <c r="P229" s="20">
        <f t="shared" si="129"/>
        <v>11950.1</v>
      </c>
      <c r="Q229" s="20">
        <f t="shared" si="129"/>
        <v>11924.5</v>
      </c>
      <c r="R229" s="20">
        <f t="shared" si="129"/>
        <v>13495.5</v>
      </c>
      <c r="S229" s="20">
        <f t="shared" si="129"/>
        <v>12843.9</v>
      </c>
      <c r="T229" s="20">
        <f t="shared" si="129"/>
        <v>0</v>
      </c>
      <c r="U229" s="20">
        <f t="shared" si="129"/>
        <v>0</v>
      </c>
      <c r="V229" s="20">
        <f t="shared" si="129"/>
        <v>178468.5</v>
      </c>
      <c r="W229" s="20">
        <f t="shared" si="129"/>
        <v>171257.49999999997</v>
      </c>
      <c r="X229" s="20">
        <f t="shared" si="129"/>
        <v>187886.2</v>
      </c>
      <c r="Y229" s="20">
        <f t="shared" si="129"/>
        <v>13247.9</v>
      </c>
      <c r="Z229" s="20">
        <f t="shared" si="129"/>
        <v>6525</v>
      </c>
      <c r="AA229" s="20">
        <f t="shared" si="129"/>
        <v>0</v>
      </c>
      <c r="AB229" s="20">
        <f t="shared" si="129"/>
        <v>168113.30000000002</v>
      </c>
      <c r="AC229" s="20">
        <f t="shared" si="129"/>
        <v>187116</v>
      </c>
      <c r="AD229" s="20">
        <f t="shared" si="129"/>
        <v>12340.2</v>
      </c>
      <c r="AE229" s="20">
        <f t="shared" si="129"/>
        <v>6941.4000000000005</v>
      </c>
      <c r="AF229" s="20">
        <f t="shared" si="129"/>
        <v>0</v>
      </c>
      <c r="AG229" s="20">
        <f t="shared" si="129"/>
        <v>167834.4</v>
      </c>
      <c r="AH229" s="20">
        <f t="shared" si="129"/>
        <v>186378.5</v>
      </c>
      <c r="AI229" s="20">
        <f t="shared" si="129"/>
        <v>11312.300000000001</v>
      </c>
      <c r="AJ229" s="20">
        <f t="shared" si="129"/>
        <v>7232.5</v>
      </c>
      <c r="AK229" s="20">
        <f t="shared" si="129"/>
        <v>0</v>
      </c>
      <c r="AL229" s="20">
        <f t="shared" si="129"/>
        <v>167833.7</v>
      </c>
      <c r="AM229" s="20">
        <f t="shared" si="129"/>
        <v>186378.5</v>
      </c>
      <c r="AN229" s="20">
        <f t="shared" si="129"/>
        <v>11312.300000000001</v>
      </c>
      <c r="AO229" s="20">
        <f t="shared" si="129"/>
        <v>7232.5</v>
      </c>
      <c r="AP229" s="20">
        <f t="shared" si="129"/>
        <v>0</v>
      </c>
      <c r="AQ229" s="20">
        <f t="shared" si="129"/>
        <v>167833.7</v>
      </c>
    </row>
    <row r="230" spans="1:43" ht="35.1" customHeight="1">
      <c r="A230" s="11" t="s">
        <v>29</v>
      </c>
      <c r="B230" s="201">
        <v>2601</v>
      </c>
      <c r="C230" s="12"/>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row>
    <row r="231" spans="1:43" ht="35.1" customHeight="1" thickBot="1">
      <c r="A231" s="17" t="s">
        <v>386</v>
      </c>
      <c r="B231" s="88"/>
      <c r="C231" s="19"/>
      <c r="D231" s="20"/>
      <c r="E231" s="20"/>
      <c r="F231" s="20"/>
      <c r="G231" s="20"/>
      <c r="H231" s="20"/>
      <c r="I231" s="20"/>
      <c r="J231" s="20"/>
      <c r="K231" s="20"/>
      <c r="L231" s="20">
        <v>1</v>
      </c>
      <c r="M231" s="20"/>
      <c r="N231" s="20">
        <f>N232+N233+N234+N235+N236+N240+N241+N242+N243+N244+N245+N246+N247+N248+N249+N250+N252+N254+N255+N256+N258+N259+N261+N264+N265+N267+N251+N260+N237+N238+N239+N253+N257+N262+N263+N266</f>
        <v>54022.000000000007</v>
      </c>
      <c r="O231" s="20">
        <f t="shared" ref="O231:AQ231" si="130">O232+O233+O234+O235+O236+O240+O241+O242+O243+O244+O245+O246+O247+O248+O249+O250+O252+O254+O255+O256+O258+O259+O261+O264+O265+O267+O251+O260+O237+O238+O239+O253+O257+O262+O263+O266</f>
        <v>50006.799999999996</v>
      </c>
      <c r="P231" s="20">
        <f t="shared" si="130"/>
        <v>0</v>
      </c>
      <c r="Q231" s="20">
        <f t="shared" si="130"/>
        <v>0</v>
      </c>
      <c r="R231" s="20">
        <f t="shared" si="130"/>
        <v>1432.5</v>
      </c>
      <c r="S231" s="20">
        <f t="shared" si="130"/>
        <v>1230.5999999999999</v>
      </c>
      <c r="T231" s="20">
        <f t="shared" si="130"/>
        <v>0</v>
      </c>
      <c r="U231" s="20">
        <f t="shared" si="130"/>
        <v>0</v>
      </c>
      <c r="V231" s="20">
        <f t="shared" si="130"/>
        <v>52589.5</v>
      </c>
      <c r="W231" s="20">
        <f t="shared" si="130"/>
        <v>48776.19999999999</v>
      </c>
      <c r="X231" s="20">
        <f t="shared" si="130"/>
        <v>46724.500000000007</v>
      </c>
      <c r="Y231" s="20">
        <f t="shared" si="130"/>
        <v>0</v>
      </c>
      <c r="Z231" s="20">
        <f t="shared" si="130"/>
        <v>0</v>
      </c>
      <c r="AA231" s="20">
        <f t="shared" si="130"/>
        <v>0</v>
      </c>
      <c r="AB231" s="20">
        <f t="shared" si="130"/>
        <v>46724.500000000007</v>
      </c>
      <c r="AC231" s="20">
        <f t="shared" si="130"/>
        <v>46574.400000000009</v>
      </c>
      <c r="AD231" s="20">
        <f t="shared" si="130"/>
        <v>0</v>
      </c>
      <c r="AE231" s="20">
        <f t="shared" si="130"/>
        <v>0</v>
      </c>
      <c r="AF231" s="20">
        <f t="shared" si="130"/>
        <v>0</v>
      </c>
      <c r="AG231" s="20">
        <f t="shared" si="130"/>
        <v>46574.400000000009</v>
      </c>
      <c r="AH231" s="20">
        <f t="shared" si="130"/>
        <v>46574.400000000009</v>
      </c>
      <c r="AI231" s="20">
        <f t="shared" si="130"/>
        <v>0</v>
      </c>
      <c r="AJ231" s="20">
        <f t="shared" si="130"/>
        <v>0</v>
      </c>
      <c r="AK231" s="20">
        <f t="shared" si="130"/>
        <v>0</v>
      </c>
      <c r="AL231" s="20">
        <f t="shared" si="130"/>
        <v>46574.400000000009</v>
      </c>
      <c r="AM231" s="20">
        <f t="shared" si="130"/>
        <v>46574.400000000009</v>
      </c>
      <c r="AN231" s="20">
        <f t="shared" si="130"/>
        <v>0</v>
      </c>
      <c r="AO231" s="20">
        <f t="shared" si="130"/>
        <v>0</v>
      </c>
      <c r="AP231" s="20">
        <f t="shared" si="130"/>
        <v>0</v>
      </c>
      <c r="AQ231" s="20">
        <f t="shared" si="130"/>
        <v>46574.400000000009</v>
      </c>
    </row>
    <row r="232" spans="1:43" ht="35.1" customHeight="1" thickBot="1">
      <c r="A232" s="53"/>
      <c r="B232" s="203"/>
      <c r="C232" s="241" t="s">
        <v>718</v>
      </c>
      <c r="D232" s="241" t="s">
        <v>719</v>
      </c>
      <c r="E232" s="241" t="s">
        <v>720</v>
      </c>
      <c r="F232" s="187" t="s">
        <v>387</v>
      </c>
      <c r="G232" s="222" t="s">
        <v>35</v>
      </c>
      <c r="H232" s="205" t="s">
        <v>36</v>
      </c>
      <c r="I232" s="71" t="s">
        <v>721</v>
      </c>
      <c r="J232" s="71" t="s">
        <v>738</v>
      </c>
      <c r="K232" s="179" t="s">
        <v>717</v>
      </c>
      <c r="L232" s="13"/>
      <c r="M232" s="24" t="s">
        <v>388</v>
      </c>
      <c r="N232" s="13">
        <f>P232+R232+T232+V232</f>
        <v>248.2</v>
      </c>
      <c r="O232" s="13">
        <f>Q232+S232+U232+W232</f>
        <v>248.2</v>
      </c>
      <c r="P232" s="13"/>
      <c r="Q232" s="13"/>
      <c r="R232" s="13"/>
      <c r="S232" s="13"/>
      <c r="T232" s="13"/>
      <c r="U232" s="13"/>
      <c r="V232" s="13">
        <f>229.7+13.9+4.6</f>
        <v>248.2</v>
      </c>
      <c r="W232" s="13">
        <v>248.2</v>
      </c>
      <c r="X232" s="13">
        <f t="shared" ref="X232:X263" si="131">Y232+Z232+AA232+AB232</f>
        <v>246</v>
      </c>
      <c r="Y232" s="13"/>
      <c r="Z232" s="13"/>
      <c r="AA232" s="13"/>
      <c r="AB232" s="13">
        <v>246</v>
      </c>
      <c r="AC232" s="13">
        <f t="shared" ref="AC232:AC252" si="132">AD232+AE232+AF232+AG232</f>
        <v>246</v>
      </c>
      <c r="AD232" s="13"/>
      <c r="AE232" s="13"/>
      <c r="AF232" s="13"/>
      <c r="AG232" s="13">
        <v>246</v>
      </c>
      <c r="AH232" s="13">
        <f t="shared" ref="AH232:AH247" si="133">AI232+AJ232+AK232+AL232</f>
        <v>246</v>
      </c>
      <c r="AI232" s="13"/>
      <c r="AJ232" s="13"/>
      <c r="AK232" s="13"/>
      <c r="AL232" s="13">
        <v>246</v>
      </c>
      <c r="AM232" s="13">
        <f>AN232+AO232+AP232+AQ232</f>
        <v>246</v>
      </c>
      <c r="AN232" s="13"/>
      <c r="AO232" s="13"/>
      <c r="AP232" s="13"/>
      <c r="AQ232" s="13">
        <v>246</v>
      </c>
    </row>
    <row r="233" spans="1:43" ht="35.1" customHeight="1" thickBot="1">
      <c r="A233" s="53"/>
      <c r="B233" s="203"/>
      <c r="C233" s="238" t="s">
        <v>393</v>
      </c>
      <c r="D233" s="233" t="s">
        <v>35</v>
      </c>
      <c r="E233" s="234" t="s">
        <v>394</v>
      </c>
      <c r="F233" s="238" t="s">
        <v>395</v>
      </c>
      <c r="G233" s="223" t="s">
        <v>35</v>
      </c>
      <c r="H233" s="188" t="s">
        <v>56</v>
      </c>
      <c r="I233" s="228"/>
      <c r="J233" s="16"/>
      <c r="K233" s="91"/>
      <c r="L233" s="13"/>
      <c r="M233" s="24" t="s">
        <v>389</v>
      </c>
      <c r="N233" s="13">
        <f>P233+R233+T233+V233</f>
        <v>1983</v>
      </c>
      <c r="O233" s="13">
        <f t="shared" ref="O233:O267" si="134">Q233+S233+U233+W233</f>
        <v>1981</v>
      </c>
      <c r="P233" s="13"/>
      <c r="Q233" s="13"/>
      <c r="R233" s="13"/>
      <c r="S233" s="13"/>
      <c r="T233" s="13"/>
      <c r="U233" s="13"/>
      <c r="V233" s="13">
        <f>1568+415</f>
        <v>1983</v>
      </c>
      <c r="W233" s="13">
        <v>1981</v>
      </c>
      <c r="X233" s="13">
        <f t="shared" si="131"/>
        <v>1227.0999999999999</v>
      </c>
      <c r="Y233" s="13"/>
      <c r="Z233" s="13"/>
      <c r="AA233" s="13"/>
      <c r="AB233" s="13">
        <v>1227.0999999999999</v>
      </c>
      <c r="AC233" s="13">
        <f t="shared" si="132"/>
        <v>1227.0999999999999</v>
      </c>
      <c r="AD233" s="13"/>
      <c r="AE233" s="13"/>
      <c r="AF233" s="13"/>
      <c r="AG233" s="13">
        <v>1227.0999999999999</v>
      </c>
      <c r="AH233" s="13">
        <f t="shared" si="133"/>
        <v>1227.0999999999999</v>
      </c>
      <c r="AI233" s="13"/>
      <c r="AJ233" s="13"/>
      <c r="AK233" s="13"/>
      <c r="AL233" s="13">
        <v>1227.0999999999999</v>
      </c>
      <c r="AM233" s="13">
        <f>AN233+AO233+AP233+AQ233</f>
        <v>1227.0999999999999</v>
      </c>
      <c r="AN233" s="13"/>
      <c r="AO233" s="13"/>
      <c r="AP233" s="13"/>
      <c r="AQ233" s="13">
        <v>1227.0999999999999</v>
      </c>
    </row>
    <row r="234" spans="1:43" ht="35.1" customHeight="1" thickBot="1">
      <c r="A234" s="53"/>
      <c r="B234" s="203"/>
      <c r="C234" s="29"/>
      <c r="D234" s="29"/>
      <c r="E234" s="29"/>
      <c r="F234" s="265"/>
      <c r="G234" s="254"/>
      <c r="H234" s="254"/>
      <c r="I234" s="228"/>
      <c r="J234" s="16"/>
      <c r="K234" s="91"/>
      <c r="L234" s="13"/>
      <c r="M234" s="24" t="s">
        <v>390</v>
      </c>
      <c r="N234" s="13">
        <v>0</v>
      </c>
      <c r="O234" s="13">
        <f t="shared" si="134"/>
        <v>0</v>
      </c>
      <c r="P234" s="13"/>
      <c r="Q234" s="13"/>
      <c r="R234" s="13"/>
      <c r="S234" s="13"/>
      <c r="T234" s="13"/>
      <c r="U234" s="13"/>
      <c r="V234" s="13">
        <f>11.3-11.3</f>
        <v>0</v>
      </c>
      <c r="W234" s="13">
        <v>0</v>
      </c>
      <c r="X234" s="13">
        <f t="shared" si="131"/>
        <v>11.3</v>
      </c>
      <c r="Y234" s="13"/>
      <c r="Z234" s="13"/>
      <c r="AA234" s="13"/>
      <c r="AB234" s="13">
        <v>11.3</v>
      </c>
      <c r="AC234" s="13">
        <f t="shared" si="132"/>
        <v>11.3</v>
      </c>
      <c r="AD234" s="13"/>
      <c r="AE234" s="13"/>
      <c r="AF234" s="13"/>
      <c r="AG234" s="13">
        <v>11.3</v>
      </c>
      <c r="AH234" s="13">
        <f t="shared" si="133"/>
        <v>11.3</v>
      </c>
      <c r="AI234" s="13"/>
      <c r="AJ234" s="13"/>
      <c r="AK234" s="13"/>
      <c r="AL234" s="13">
        <v>11.3</v>
      </c>
      <c r="AM234" s="13">
        <f>AN234+AO234+AP234+AQ234</f>
        <v>11.3</v>
      </c>
      <c r="AN234" s="13"/>
      <c r="AO234" s="13"/>
      <c r="AP234" s="13"/>
      <c r="AQ234" s="13">
        <v>11.3</v>
      </c>
    </row>
    <row r="235" spans="1:43" ht="35.1" customHeight="1" thickBot="1">
      <c r="A235" s="53"/>
      <c r="B235" s="203"/>
      <c r="C235" s="29"/>
      <c r="D235" s="29"/>
      <c r="E235" s="29"/>
      <c r="F235" s="265"/>
      <c r="G235" s="254"/>
      <c r="H235" s="254"/>
      <c r="I235" s="228"/>
      <c r="J235" s="16"/>
      <c r="K235" s="91"/>
      <c r="L235" s="13"/>
      <c r="M235" s="24" t="s">
        <v>391</v>
      </c>
      <c r="N235" s="13">
        <f>P235+R235+T235+V235</f>
        <v>741.6</v>
      </c>
      <c r="O235" s="13">
        <f t="shared" si="134"/>
        <v>741.6</v>
      </c>
      <c r="P235" s="13"/>
      <c r="Q235" s="13"/>
      <c r="R235" s="13"/>
      <c r="S235" s="13"/>
      <c r="T235" s="13"/>
      <c r="U235" s="13"/>
      <c r="V235" s="13">
        <f>551.5+13.9+162.6+4.6+9</f>
        <v>741.6</v>
      </c>
      <c r="W235" s="13">
        <v>741.6</v>
      </c>
      <c r="X235" s="13">
        <f t="shared" si="131"/>
        <v>575.29999999999995</v>
      </c>
      <c r="Y235" s="13"/>
      <c r="Z235" s="13"/>
      <c r="AA235" s="13"/>
      <c r="AB235" s="13">
        <v>575.29999999999995</v>
      </c>
      <c r="AC235" s="13">
        <f t="shared" si="132"/>
        <v>575.29999999999995</v>
      </c>
      <c r="AD235" s="13"/>
      <c r="AE235" s="13"/>
      <c r="AF235" s="13"/>
      <c r="AG235" s="13">
        <v>575.29999999999995</v>
      </c>
      <c r="AH235" s="13">
        <f t="shared" si="133"/>
        <v>575.29999999999995</v>
      </c>
      <c r="AI235" s="13"/>
      <c r="AJ235" s="13"/>
      <c r="AK235" s="13"/>
      <c r="AL235" s="13">
        <v>575.29999999999995</v>
      </c>
      <c r="AM235" s="13">
        <f t="shared" ref="AM235:AM252" si="135">AN235+AO235+AP235+AQ235</f>
        <v>575.29999999999995</v>
      </c>
      <c r="AN235" s="13"/>
      <c r="AO235" s="13"/>
      <c r="AP235" s="13"/>
      <c r="AQ235" s="13">
        <v>575.29999999999995</v>
      </c>
    </row>
    <row r="236" spans="1:43" ht="35.1" customHeight="1" thickBot="1">
      <c r="A236" s="53"/>
      <c r="B236" s="203"/>
      <c r="C236" s="29"/>
      <c r="D236" s="29"/>
      <c r="E236" s="29"/>
      <c r="F236" s="265"/>
      <c r="G236" s="254"/>
      <c r="H236" s="254"/>
      <c r="I236" s="228" t="s">
        <v>899</v>
      </c>
      <c r="J236" s="16" t="s">
        <v>97</v>
      </c>
      <c r="K236" s="67" t="s">
        <v>900</v>
      </c>
      <c r="L236" s="13"/>
      <c r="M236" s="24" t="s">
        <v>392</v>
      </c>
      <c r="N236" s="13">
        <f>P236+R236+T236+V236</f>
        <v>150.30000000000001</v>
      </c>
      <c r="O236" s="13">
        <f t="shared" si="134"/>
        <v>150.30000000000001</v>
      </c>
      <c r="P236" s="13"/>
      <c r="Q236" s="13"/>
      <c r="R236" s="13"/>
      <c r="S236" s="13"/>
      <c r="T236" s="13"/>
      <c r="U236" s="13"/>
      <c r="V236" s="13">
        <f>130.5+13.9+4.6+1.3</f>
        <v>150.30000000000001</v>
      </c>
      <c r="W236" s="13">
        <v>150.30000000000001</v>
      </c>
      <c r="X236" s="13">
        <f t="shared" si="131"/>
        <v>146.6</v>
      </c>
      <c r="Y236" s="13"/>
      <c r="Z236" s="13"/>
      <c r="AA236" s="13"/>
      <c r="AB236" s="13">
        <v>146.6</v>
      </c>
      <c r="AC236" s="13">
        <f t="shared" si="132"/>
        <v>146.6</v>
      </c>
      <c r="AD236" s="13"/>
      <c r="AE236" s="13"/>
      <c r="AF236" s="13"/>
      <c r="AG236" s="13">
        <v>146.6</v>
      </c>
      <c r="AH236" s="13">
        <f t="shared" si="133"/>
        <v>146.6</v>
      </c>
      <c r="AI236" s="13"/>
      <c r="AJ236" s="13"/>
      <c r="AK236" s="13"/>
      <c r="AL236" s="13">
        <v>146.6</v>
      </c>
      <c r="AM236" s="13">
        <f t="shared" si="135"/>
        <v>146.6</v>
      </c>
      <c r="AN236" s="13"/>
      <c r="AO236" s="13"/>
      <c r="AP236" s="13"/>
      <c r="AQ236" s="13">
        <v>146.6</v>
      </c>
    </row>
    <row r="237" spans="1:43" ht="35.1" customHeight="1" thickBot="1">
      <c r="A237" s="53"/>
      <c r="B237" s="203"/>
      <c r="C237" s="266"/>
      <c r="D237" s="267"/>
      <c r="E237" s="267"/>
      <c r="F237" s="254"/>
      <c r="G237" s="254"/>
      <c r="H237" s="254"/>
      <c r="I237" s="228"/>
      <c r="J237" s="16"/>
      <c r="K237" s="91"/>
      <c r="L237" s="13"/>
      <c r="M237" s="24" t="s">
        <v>396</v>
      </c>
      <c r="N237" s="13">
        <f t="shared" ref="N237:N257" si="136">P237+R237+T237+V237</f>
        <v>65.8</v>
      </c>
      <c r="O237" s="13">
        <f t="shared" si="134"/>
        <v>65.8</v>
      </c>
      <c r="P237" s="13"/>
      <c r="Q237" s="13"/>
      <c r="R237" s="13">
        <f>43.8+19.3+2.7</f>
        <v>65.8</v>
      </c>
      <c r="S237" s="13">
        <v>65.8</v>
      </c>
      <c r="T237" s="13"/>
      <c r="U237" s="13"/>
      <c r="V237" s="13"/>
      <c r="W237" s="13"/>
      <c r="X237" s="13">
        <f t="shared" si="131"/>
        <v>0</v>
      </c>
      <c r="Y237" s="13"/>
      <c r="Z237" s="13">
        <v>0</v>
      </c>
      <c r="AA237" s="13"/>
      <c r="AB237" s="13"/>
      <c r="AC237" s="13">
        <f t="shared" si="132"/>
        <v>0</v>
      </c>
      <c r="AD237" s="13"/>
      <c r="AE237" s="13"/>
      <c r="AF237" s="13"/>
      <c r="AG237" s="13">
        <v>0</v>
      </c>
      <c r="AH237" s="13">
        <f t="shared" si="133"/>
        <v>0</v>
      </c>
      <c r="AI237" s="13"/>
      <c r="AJ237" s="13"/>
      <c r="AK237" s="13"/>
      <c r="AL237" s="13">
        <v>0</v>
      </c>
      <c r="AM237" s="13">
        <f t="shared" si="135"/>
        <v>0</v>
      </c>
      <c r="AN237" s="13"/>
      <c r="AO237" s="13"/>
      <c r="AP237" s="13"/>
      <c r="AQ237" s="13">
        <v>0</v>
      </c>
    </row>
    <row r="238" spans="1:43" ht="35.1" customHeight="1" thickBot="1">
      <c r="A238" s="53"/>
      <c r="B238" s="203"/>
      <c r="C238" s="266"/>
      <c r="D238" s="267"/>
      <c r="E238" s="267"/>
      <c r="F238" s="254"/>
      <c r="G238" s="254"/>
      <c r="H238" s="254"/>
      <c r="I238" s="24"/>
      <c r="J238" s="16"/>
      <c r="K238" s="91"/>
      <c r="L238" s="13"/>
      <c r="M238" s="24" t="s">
        <v>397</v>
      </c>
      <c r="N238" s="13">
        <f t="shared" si="136"/>
        <v>58.3</v>
      </c>
      <c r="O238" s="13">
        <f t="shared" si="134"/>
        <v>58.3</v>
      </c>
      <c r="P238" s="13"/>
      <c r="Q238" s="13"/>
      <c r="R238" s="13">
        <v>58.3</v>
      </c>
      <c r="S238" s="13">
        <v>58.3</v>
      </c>
      <c r="T238" s="13"/>
      <c r="U238" s="13"/>
      <c r="V238" s="13"/>
      <c r="W238" s="13"/>
      <c r="X238" s="13">
        <f t="shared" si="131"/>
        <v>0</v>
      </c>
      <c r="Y238" s="13"/>
      <c r="Z238" s="13">
        <v>0</v>
      </c>
      <c r="AA238" s="13"/>
      <c r="AB238" s="13"/>
      <c r="AC238" s="13">
        <f t="shared" si="132"/>
        <v>0</v>
      </c>
      <c r="AD238" s="13"/>
      <c r="AE238" s="13"/>
      <c r="AF238" s="13"/>
      <c r="AG238" s="13">
        <v>0</v>
      </c>
      <c r="AH238" s="13">
        <f t="shared" si="133"/>
        <v>0</v>
      </c>
      <c r="AI238" s="13"/>
      <c r="AJ238" s="13"/>
      <c r="AK238" s="13"/>
      <c r="AL238" s="13">
        <v>0</v>
      </c>
      <c r="AM238" s="13">
        <f t="shared" si="135"/>
        <v>0</v>
      </c>
      <c r="AN238" s="13"/>
      <c r="AO238" s="13"/>
      <c r="AP238" s="13"/>
      <c r="AQ238" s="13">
        <v>0</v>
      </c>
    </row>
    <row r="239" spans="1:43" ht="35.1" customHeight="1" thickBot="1">
      <c r="A239" s="53"/>
      <c r="B239" s="203"/>
      <c r="C239" s="266"/>
      <c r="D239" s="267"/>
      <c r="E239" s="267"/>
      <c r="F239" s="254"/>
      <c r="G239" s="254"/>
      <c r="H239" s="254"/>
      <c r="I239" s="228"/>
      <c r="J239" s="228"/>
      <c r="K239" s="67"/>
      <c r="L239" s="13"/>
      <c r="M239" s="24" t="s">
        <v>401</v>
      </c>
      <c r="N239" s="13">
        <f t="shared" si="136"/>
        <v>654.6</v>
      </c>
      <c r="O239" s="13">
        <f t="shared" si="134"/>
        <v>654.6</v>
      </c>
      <c r="P239" s="13"/>
      <c r="Q239" s="13"/>
      <c r="R239" s="13">
        <v>654.6</v>
      </c>
      <c r="S239" s="13">
        <v>654.6</v>
      </c>
      <c r="T239" s="13"/>
      <c r="U239" s="13"/>
      <c r="V239" s="13"/>
      <c r="W239" s="13"/>
      <c r="X239" s="13">
        <f t="shared" si="131"/>
        <v>0</v>
      </c>
      <c r="Y239" s="13"/>
      <c r="Z239" s="13">
        <v>0</v>
      </c>
      <c r="AA239" s="13"/>
      <c r="AB239" s="13"/>
      <c r="AC239" s="13">
        <f t="shared" si="132"/>
        <v>0</v>
      </c>
      <c r="AD239" s="13"/>
      <c r="AE239" s="13"/>
      <c r="AF239" s="13"/>
      <c r="AG239" s="13">
        <v>0</v>
      </c>
      <c r="AH239" s="13">
        <f t="shared" si="133"/>
        <v>0</v>
      </c>
      <c r="AI239" s="13"/>
      <c r="AJ239" s="13"/>
      <c r="AK239" s="13"/>
      <c r="AL239" s="13">
        <v>0</v>
      </c>
      <c r="AM239" s="13">
        <f t="shared" si="135"/>
        <v>0</v>
      </c>
      <c r="AN239" s="13"/>
      <c r="AO239" s="13"/>
      <c r="AP239" s="13"/>
      <c r="AQ239" s="13">
        <v>0</v>
      </c>
    </row>
    <row r="240" spans="1:43" ht="35.1" customHeight="1" thickBot="1">
      <c r="A240" s="53"/>
      <c r="B240" s="203"/>
      <c r="C240" s="266"/>
      <c r="D240" s="267"/>
      <c r="E240" s="267"/>
      <c r="F240" s="254"/>
      <c r="G240" s="254"/>
      <c r="H240" s="254"/>
      <c r="I240" s="228"/>
      <c r="J240" s="228"/>
      <c r="K240" s="67"/>
      <c r="L240" s="13"/>
      <c r="M240" s="24" t="s">
        <v>402</v>
      </c>
      <c r="N240" s="13">
        <f t="shared" si="136"/>
        <v>134.30000000000001</v>
      </c>
      <c r="O240" s="13">
        <f t="shared" si="134"/>
        <v>0</v>
      </c>
      <c r="P240" s="13"/>
      <c r="Q240" s="13"/>
      <c r="R240" s="13">
        <f>189-54.7</f>
        <v>134.30000000000001</v>
      </c>
      <c r="S240" s="13">
        <v>0</v>
      </c>
      <c r="T240" s="13"/>
      <c r="U240" s="13"/>
      <c r="V240" s="13"/>
      <c r="W240" s="13"/>
      <c r="X240" s="13">
        <f t="shared" si="131"/>
        <v>0</v>
      </c>
      <c r="Y240" s="13"/>
      <c r="Z240" s="13">
        <v>0</v>
      </c>
      <c r="AA240" s="13"/>
      <c r="AB240" s="13"/>
      <c r="AC240" s="13">
        <f t="shared" si="132"/>
        <v>0</v>
      </c>
      <c r="AD240" s="13"/>
      <c r="AE240" s="13"/>
      <c r="AF240" s="13"/>
      <c r="AG240" s="13">
        <v>0</v>
      </c>
      <c r="AH240" s="13">
        <f t="shared" si="133"/>
        <v>0</v>
      </c>
      <c r="AI240" s="13"/>
      <c r="AJ240" s="13"/>
      <c r="AK240" s="13"/>
      <c r="AL240" s="13">
        <v>0</v>
      </c>
      <c r="AM240" s="13">
        <f t="shared" si="135"/>
        <v>0</v>
      </c>
      <c r="AN240" s="13"/>
      <c r="AO240" s="13"/>
      <c r="AP240" s="13"/>
      <c r="AQ240" s="13">
        <v>0</v>
      </c>
    </row>
    <row r="241" spans="1:43" ht="35.1" customHeight="1" thickBot="1">
      <c r="A241" s="53"/>
      <c r="B241" s="203"/>
      <c r="C241" s="266"/>
      <c r="D241" s="254"/>
      <c r="E241" s="266"/>
      <c r="F241" s="228"/>
      <c r="G241" s="228"/>
      <c r="H241" s="228"/>
      <c r="I241" s="228"/>
      <c r="J241" s="228"/>
      <c r="K241" s="67"/>
      <c r="L241" s="13"/>
      <c r="M241" s="228" t="s">
        <v>403</v>
      </c>
      <c r="N241" s="13">
        <f t="shared" si="136"/>
        <v>1179.8</v>
      </c>
      <c r="O241" s="13">
        <f t="shared" si="134"/>
        <v>1054</v>
      </c>
      <c r="P241" s="13"/>
      <c r="Q241" s="13"/>
      <c r="R241" s="13"/>
      <c r="S241" s="13"/>
      <c r="T241" s="13"/>
      <c r="U241" s="13"/>
      <c r="V241" s="13">
        <v>1179.8</v>
      </c>
      <c r="W241" s="13">
        <v>1054</v>
      </c>
      <c r="X241" s="13">
        <f t="shared" si="131"/>
        <v>788.3</v>
      </c>
      <c r="Y241" s="13"/>
      <c r="Z241" s="13"/>
      <c r="AA241" s="13"/>
      <c r="AB241" s="13">
        <v>788.3</v>
      </c>
      <c r="AC241" s="13">
        <f t="shared" si="132"/>
        <v>788.3</v>
      </c>
      <c r="AD241" s="13"/>
      <c r="AE241" s="13"/>
      <c r="AF241" s="13"/>
      <c r="AG241" s="13">
        <v>788.3</v>
      </c>
      <c r="AH241" s="13">
        <f t="shared" si="133"/>
        <v>788.3</v>
      </c>
      <c r="AI241" s="13"/>
      <c r="AJ241" s="13"/>
      <c r="AK241" s="13"/>
      <c r="AL241" s="13">
        <v>788.3</v>
      </c>
      <c r="AM241" s="13">
        <f t="shared" si="135"/>
        <v>788.3</v>
      </c>
      <c r="AN241" s="13"/>
      <c r="AO241" s="13"/>
      <c r="AP241" s="13"/>
      <c r="AQ241" s="13">
        <v>788.3</v>
      </c>
    </row>
    <row r="242" spans="1:43" ht="35.1" customHeight="1" thickBot="1">
      <c r="A242" s="53"/>
      <c r="B242" s="203"/>
      <c r="C242" s="266"/>
      <c r="D242" s="254"/>
      <c r="E242" s="266"/>
      <c r="F242" s="24"/>
      <c r="G242" s="13"/>
      <c r="H242" s="13"/>
      <c r="I242" s="228"/>
      <c r="J242" s="228"/>
      <c r="K242" s="67"/>
      <c r="L242" s="13"/>
      <c r="M242" s="228" t="s">
        <v>404</v>
      </c>
      <c r="N242" s="13">
        <f t="shared" si="136"/>
        <v>8770.6</v>
      </c>
      <c r="O242" s="13">
        <f t="shared" si="134"/>
        <v>8567.1</v>
      </c>
      <c r="P242" s="13"/>
      <c r="Q242" s="13"/>
      <c r="R242" s="13"/>
      <c r="S242" s="13"/>
      <c r="T242" s="13"/>
      <c r="U242" s="13"/>
      <c r="V242" s="13">
        <f>6281.5+100+150+139.2+2099.9</f>
        <v>8770.6</v>
      </c>
      <c r="W242" s="13">
        <v>8567.1</v>
      </c>
      <c r="X242" s="13">
        <f t="shared" si="131"/>
        <v>9767.2000000000007</v>
      </c>
      <c r="Y242" s="13"/>
      <c r="Z242" s="13"/>
      <c r="AA242" s="13"/>
      <c r="AB242" s="13">
        <v>9767.2000000000007</v>
      </c>
      <c r="AC242" s="13">
        <f t="shared" si="132"/>
        <v>9767.2000000000007</v>
      </c>
      <c r="AD242" s="13"/>
      <c r="AE242" s="13"/>
      <c r="AF242" s="13"/>
      <c r="AG242" s="13">
        <v>9767.2000000000007</v>
      </c>
      <c r="AH242" s="13">
        <f t="shared" si="133"/>
        <v>9767.2000000000007</v>
      </c>
      <c r="AI242" s="13"/>
      <c r="AJ242" s="13"/>
      <c r="AK242" s="13"/>
      <c r="AL242" s="13">
        <v>9767.2000000000007</v>
      </c>
      <c r="AM242" s="13">
        <f t="shared" si="135"/>
        <v>9767.2000000000007</v>
      </c>
      <c r="AN242" s="13"/>
      <c r="AO242" s="13"/>
      <c r="AP242" s="13"/>
      <c r="AQ242" s="13">
        <v>9767.2000000000007</v>
      </c>
    </row>
    <row r="243" spans="1:43" ht="35.1" customHeight="1" thickBot="1">
      <c r="A243" s="53"/>
      <c r="B243" s="203"/>
      <c r="C243" s="266"/>
      <c r="D243" s="254"/>
      <c r="E243" s="266"/>
      <c r="F243" s="24"/>
      <c r="G243" s="13"/>
      <c r="H243" s="13"/>
      <c r="I243" s="24"/>
      <c r="J243" s="13"/>
      <c r="K243" s="13"/>
      <c r="L243" s="13"/>
      <c r="M243" s="24" t="s">
        <v>405</v>
      </c>
      <c r="N243" s="13">
        <f t="shared" si="136"/>
        <v>17025.2</v>
      </c>
      <c r="O243" s="13">
        <f t="shared" si="134"/>
        <v>15445.2</v>
      </c>
      <c r="P243" s="13"/>
      <c r="Q243" s="13"/>
      <c r="R243" s="13"/>
      <c r="S243" s="13"/>
      <c r="T243" s="13"/>
      <c r="U243" s="13"/>
      <c r="V243" s="13">
        <f>8920.6+3579+435.9+75-100+345.5+1080.6+180+136.5+300+1822.1+250</f>
        <v>17025.2</v>
      </c>
      <c r="W243" s="13">
        <v>15445.2</v>
      </c>
      <c r="X243" s="13">
        <f t="shared" si="131"/>
        <v>13847.2</v>
      </c>
      <c r="Y243" s="13"/>
      <c r="Z243" s="13"/>
      <c r="AA243" s="13"/>
      <c r="AB243" s="13">
        <v>13847.2</v>
      </c>
      <c r="AC243" s="13">
        <f t="shared" si="132"/>
        <v>13697.1</v>
      </c>
      <c r="AD243" s="13"/>
      <c r="AE243" s="13"/>
      <c r="AF243" s="13"/>
      <c r="AG243" s="13">
        <v>13697.1</v>
      </c>
      <c r="AH243" s="13">
        <f t="shared" si="133"/>
        <v>13697.1</v>
      </c>
      <c r="AI243" s="13"/>
      <c r="AJ243" s="13"/>
      <c r="AK243" s="13"/>
      <c r="AL243" s="13">
        <v>13697.1</v>
      </c>
      <c r="AM243" s="13">
        <f t="shared" si="135"/>
        <v>13697.1</v>
      </c>
      <c r="AN243" s="13"/>
      <c r="AO243" s="13"/>
      <c r="AP243" s="13"/>
      <c r="AQ243" s="13">
        <v>13697.1</v>
      </c>
    </row>
    <row r="244" spans="1:43" ht="35.1" customHeight="1" thickBot="1">
      <c r="A244" s="53"/>
      <c r="B244" s="203"/>
      <c r="C244" s="266"/>
      <c r="D244" s="254"/>
      <c r="E244" s="266"/>
      <c r="F244" s="220"/>
      <c r="G244" s="43"/>
      <c r="H244" s="43"/>
      <c r="I244" s="24"/>
      <c r="J244" s="13"/>
      <c r="K244" s="13"/>
      <c r="L244" s="13"/>
      <c r="M244" s="24" t="s">
        <v>406</v>
      </c>
      <c r="N244" s="13">
        <f t="shared" si="136"/>
        <v>7100</v>
      </c>
      <c r="O244" s="13">
        <f t="shared" si="134"/>
        <v>6086.5</v>
      </c>
      <c r="P244" s="13"/>
      <c r="Q244" s="13"/>
      <c r="R244" s="13"/>
      <c r="S244" s="13"/>
      <c r="T244" s="13"/>
      <c r="U244" s="13"/>
      <c r="V244" s="13">
        <f>7200-100</f>
        <v>7100</v>
      </c>
      <c r="W244" s="13">
        <v>6086.5</v>
      </c>
      <c r="X244" s="13">
        <f t="shared" si="131"/>
        <v>7500</v>
      </c>
      <c r="Y244" s="13"/>
      <c r="Z244" s="13"/>
      <c r="AA244" s="13"/>
      <c r="AB244" s="13">
        <v>7500</v>
      </c>
      <c r="AC244" s="13">
        <f t="shared" si="132"/>
        <v>7500</v>
      </c>
      <c r="AD244" s="13"/>
      <c r="AE244" s="13"/>
      <c r="AF244" s="13"/>
      <c r="AG244" s="13">
        <v>7500</v>
      </c>
      <c r="AH244" s="13">
        <f t="shared" si="133"/>
        <v>7500</v>
      </c>
      <c r="AI244" s="13"/>
      <c r="AJ244" s="13"/>
      <c r="AK244" s="13"/>
      <c r="AL244" s="13">
        <v>7500</v>
      </c>
      <c r="AM244" s="13">
        <f t="shared" si="135"/>
        <v>7500</v>
      </c>
      <c r="AN244" s="13"/>
      <c r="AO244" s="13"/>
      <c r="AP244" s="13"/>
      <c r="AQ244" s="13">
        <v>7500</v>
      </c>
    </row>
    <row r="245" spans="1:43" ht="35.1" customHeight="1" thickBot="1">
      <c r="A245" s="53"/>
      <c r="B245" s="203"/>
      <c r="C245" s="266"/>
      <c r="D245" s="254"/>
      <c r="E245" s="266"/>
      <c r="F245" s="24"/>
      <c r="G245" s="13"/>
      <c r="H245" s="13"/>
      <c r="I245" s="24"/>
      <c r="J245" s="13"/>
      <c r="K245" s="13"/>
      <c r="L245" s="13"/>
      <c r="M245" s="28" t="s">
        <v>407</v>
      </c>
      <c r="N245" s="13">
        <f t="shared" si="136"/>
        <v>1506.6999999999998</v>
      </c>
      <c r="O245" s="13">
        <f t="shared" si="134"/>
        <v>1489.6</v>
      </c>
      <c r="P245" s="13"/>
      <c r="Q245" s="13"/>
      <c r="R245" s="13"/>
      <c r="S245" s="13"/>
      <c r="T245" s="13"/>
      <c r="U245" s="13"/>
      <c r="V245" s="13">
        <f>38.3+45+538.4+108+35+333.7+70.7+7.4+73.6+7.2+31.6-7.3+225.1</f>
        <v>1506.6999999999998</v>
      </c>
      <c r="W245" s="13">
        <v>1489.6</v>
      </c>
      <c r="X245" s="13">
        <f t="shared" si="131"/>
        <v>20</v>
      </c>
      <c r="Y245" s="13"/>
      <c r="Z245" s="13"/>
      <c r="AA245" s="13"/>
      <c r="AB245" s="13">
        <v>20</v>
      </c>
      <c r="AC245" s="13">
        <f t="shared" si="132"/>
        <v>20</v>
      </c>
      <c r="AD245" s="13"/>
      <c r="AE245" s="13"/>
      <c r="AF245" s="13"/>
      <c r="AG245" s="13">
        <v>20</v>
      </c>
      <c r="AH245" s="13">
        <f t="shared" si="133"/>
        <v>20</v>
      </c>
      <c r="AI245" s="13"/>
      <c r="AJ245" s="13"/>
      <c r="AK245" s="13"/>
      <c r="AL245" s="13">
        <v>20</v>
      </c>
      <c r="AM245" s="13">
        <f t="shared" si="135"/>
        <v>20</v>
      </c>
      <c r="AN245" s="13"/>
      <c r="AO245" s="13"/>
      <c r="AP245" s="13"/>
      <c r="AQ245" s="13">
        <v>20</v>
      </c>
    </row>
    <row r="246" spans="1:43" ht="35.1" customHeight="1" thickBot="1">
      <c r="A246" s="53"/>
      <c r="B246" s="203"/>
      <c r="C246" s="266"/>
      <c r="D246" s="254"/>
      <c r="E246" s="266"/>
      <c r="F246" s="24"/>
      <c r="G246" s="13"/>
      <c r="H246" s="13"/>
      <c r="I246" s="24"/>
      <c r="J246" s="13"/>
      <c r="K246" s="13"/>
      <c r="L246" s="13"/>
      <c r="M246" s="24" t="s">
        <v>408</v>
      </c>
      <c r="N246" s="13">
        <f t="shared" si="136"/>
        <v>1369.8</v>
      </c>
      <c r="O246" s="13">
        <f t="shared" si="134"/>
        <v>868.5</v>
      </c>
      <c r="P246" s="13"/>
      <c r="Q246" s="13"/>
      <c r="R246" s="13"/>
      <c r="S246" s="13"/>
      <c r="T246" s="13"/>
      <c r="U246" s="13"/>
      <c r="V246" s="13">
        <f>1032.3+237.5+100</f>
        <v>1369.8</v>
      </c>
      <c r="W246" s="13">
        <v>868.5</v>
      </c>
      <c r="X246" s="13">
        <f t="shared" si="131"/>
        <v>5</v>
      </c>
      <c r="Y246" s="13"/>
      <c r="Z246" s="13"/>
      <c r="AA246" s="13"/>
      <c r="AB246" s="13">
        <v>5</v>
      </c>
      <c r="AC246" s="13">
        <f t="shared" si="132"/>
        <v>5</v>
      </c>
      <c r="AD246" s="13"/>
      <c r="AE246" s="13"/>
      <c r="AF246" s="13"/>
      <c r="AG246" s="13">
        <v>5</v>
      </c>
      <c r="AH246" s="13">
        <f t="shared" si="133"/>
        <v>5</v>
      </c>
      <c r="AI246" s="13"/>
      <c r="AJ246" s="13"/>
      <c r="AK246" s="13"/>
      <c r="AL246" s="13">
        <v>5</v>
      </c>
      <c r="AM246" s="13">
        <f t="shared" si="135"/>
        <v>5</v>
      </c>
      <c r="AN246" s="13"/>
      <c r="AO246" s="13"/>
      <c r="AP246" s="13"/>
      <c r="AQ246" s="13">
        <v>5</v>
      </c>
    </row>
    <row r="247" spans="1:43" ht="35.1" customHeight="1" thickBot="1">
      <c r="A247" s="53"/>
      <c r="B247" s="203"/>
      <c r="C247" s="266"/>
      <c r="D247" s="254"/>
      <c r="E247" s="266"/>
      <c r="F247" s="55"/>
      <c r="G247" s="13"/>
      <c r="H247" s="13"/>
      <c r="I247" s="24" t="s">
        <v>896</v>
      </c>
      <c r="J247" s="13" t="s">
        <v>97</v>
      </c>
      <c r="K247" s="24" t="s">
        <v>897</v>
      </c>
      <c r="L247" s="13"/>
      <c r="M247" s="24" t="s">
        <v>409</v>
      </c>
      <c r="N247" s="13">
        <f t="shared" si="136"/>
        <v>2610</v>
      </c>
      <c r="O247" s="13">
        <f t="shared" si="134"/>
        <v>2487.1999999999998</v>
      </c>
      <c r="P247" s="13"/>
      <c r="Q247" s="13"/>
      <c r="R247" s="13"/>
      <c r="S247" s="13"/>
      <c r="T247" s="13"/>
      <c r="U247" s="13"/>
      <c r="V247" s="13">
        <f>2521.9+88.1</f>
        <v>2610</v>
      </c>
      <c r="W247" s="13">
        <v>2487.1999999999998</v>
      </c>
      <c r="X247" s="13">
        <f t="shared" si="131"/>
        <v>2523</v>
      </c>
      <c r="Y247" s="13"/>
      <c r="Z247" s="13"/>
      <c r="AA247" s="13"/>
      <c r="AB247" s="13">
        <v>2523</v>
      </c>
      <c r="AC247" s="13">
        <f t="shared" si="132"/>
        <v>2523</v>
      </c>
      <c r="AD247" s="13"/>
      <c r="AE247" s="13"/>
      <c r="AF247" s="13"/>
      <c r="AG247" s="13">
        <v>2523</v>
      </c>
      <c r="AH247" s="13">
        <f t="shared" si="133"/>
        <v>2523</v>
      </c>
      <c r="AI247" s="13"/>
      <c r="AJ247" s="13"/>
      <c r="AK247" s="13"/>
      <c r="AL247" s="13">
        <v>2523</v>
      </c>
      <c r="AM247" s="13">
        <f t="shared" si="135"/>
        <v>2523</v>
      </c>
      <c r="AN247" s="13"/>
      <c r="AO247" s="13"/>
      <c r="AP247" s="13"/>
      <c r="AQ247" s="13">
        <v>2523</v>
      </c>
    </row>
    <row r="248" spans="1:43" ht="35.1" customHeight="1" thickBot="1">
      <c r="A248" s="53"/>
      <c r="B248" s="54"/>
      <c r="C248" s="26"/>
      <c r="D248" s="26"/>
      <c r="E248" s="26"/>
      <c r="F248" s="26"/>
      <c r="G248" s="26"/>
      <c r="H248" s="26"/>
      <c r="I248" s="252"/>
      <c r="J248" s="252"/>
      <c r="K248" s="252"/>
      <c r="L248" s="13"/>
      <c r="M248" s="56" t="s">
        <v>410</v>
      </c>
      <c r="N248" s="13">
        <f t="shared" si="136"/>
        <v>556.1</v>
      </c>
      <c r="O248" s="13">
        <f t="shared" si="134"/>
        <v>546</v>
      </c>
      <c r="P248" s="13"/>
      <c r="Q248" s="13"/>
      <c r="R248" s="13"/>
      <c r="S248" s="13"/>
      <c r="T248" s="13"/>
      <c r="U248" s="13"/>
      <c r="V248" s="13">
        <f>506.1+50</f>
        <v>556.1</v>
      </c>
      <c r="W248" s="13">
        <v>546</v>
      </c>
      <c r="X248" s="13">
        <f t="shared" si="131"/>
        <v>630.1</v>
      </c>
      <c r="Y248" s="13"/>
      <c r="Z248" s="13"/>
      <c r="AA248" s="13"/>
      <c r="AB248" s="13">
        <v>630.1</v>
      </c>
      <c r="AC248" s="13">
        <f t="shared" si="132"/>
        <v>630.1</v>
      </c>
      <c r="AD248" s="13"/>
      <c r="AE248" s="13"/>
      <c r="AF248" s="13"/>
      <c r="AG248" s="13">
        <v>630.1</v>
      </c>
      <c r="AH248" s="13">
        <f>AI248+AJ248+AK248+AL248</f>
        <v>630.1</v>
      </c>
      <c r="AI248" s="13"/>
      <c r="AJ248" s="13"/>
      <c r="AK248" s="13"/>
      <c r="AL248" s="13">
        <v>630.1</v>
      </c>
      <c r="AM248" s="13">
        <f t="shared" si="135"/>
        <v>630.1</v>
      </c>
      <c r="AN248" s="13"/>
      <c r="AO248" s="13"/>
      <c r="AP248" s="13"/>
      <c r="AQ248" s="13">
        <v>630.1</v>
      </c>
    </row>
    <row r="249" spans="1:43" ht="35.1" customHeight="1" thickBot="1">
      <c r="A249" s="53"/>
      <c r="B249" s="54"/>
      <c r="C249" s="26"/>
      <c r="D249" s="26"/>
      <c r="E249" s="26"/>
      <c r="F249" s="26"/>
      <c r="G249" s="26"/>
      <c r="H249" s="26"/>
      <c r="I249" s="26" t="s">
        <v>247</v>
      </c>
      <c r="J249" s="26" t="s">
        <v>147</v>
      </c>
      <c r="K249" s="74" t="s">
        <v>745</v>
      </c>
      <c r="L249" s="13"/>
      <c r="M249" s="24" t="s">
        <v>411</v>
      </c>
      <c r="N249" s="13">
        <f t="shared" si="136"/>
        <v>1039.2</v>
      </c>
      <c r="O249" s="13">
        <f t="shared" si="134"/>
        <v>968.1</v>
      </c>
      <c r="P249" s="13"/>
      <c r="Q249" s="13"/>
      <c r="R249" s="13"/>
      <c r="S249" s="13"/>
      <c r="T249" s="13"/>
      <c r="U249" s="13"/>
      <c r="V249" s="13">
        <f>965+55.7+18.5</f>
        <v>1039.2</v>
      </c>
      <c r="W249" s="13">
        <v>968.1</v>
      </c>
      <c r="X249" s="13">
        <f t="shared" si="131"/>
        <v>1008.5</v>
      </c>
      <c r="Y249" s="13"/>
      <c r="Z249" s="13"/>
      <c r="AA249" s="13"/>
      <c r="AB249" s="13">
        <v>1008.5</v>
      </c>
      <c r="AC249" s="13">
        <f t="shared" si="132"/>
        <v>1008.5</v>
      </c>
      <c r="AD249" s="13"/>
      <c r="AE249" s="13"/>
      <c r="AF249" s="13"/>
      <c r="AG249" s="13">
        <v>1008.5</v>
      </c>
      <c r="AH249" s="13">
        <f>AI249+AJ249+AK249+AL249</f>
        <v>1008.5</v>
      </c>
      <c r="AI249" s="13"/>
      <c r="AJ249" s="13"/>
      <c r="AK249" s="13"/>
      <c r="AL249" s="13">
        <v>1008.5</v>
      </c>
      <c r="AM249" s="13">
        <f t="shared" si="135"/>
        <v>1008.5</v>
      </c>
      <c r="AN249" s="13"/>
      <c r="AO249" s="13"/>
      <c r="AP249" s="13"/>
      <c r="AQ249" s="13">
        <v>1008.5</v>
      </c>
    </row>
    <row r="250" spans="1:43" ht="35.1" customHeight="1" thickBot="1">
      <c r="A250" s="53"/>
      <c r="B250" s="54"/>
      <c r="C250" s="26"/>
      <c r="D250" s="26"/>
      <c r="E250" s="26"/>
      <c r="F250" s="26"/>
      <c r="G250" s="26"/>
      <c r="H250" s="26"/>
      <c r="I250" s="26"/>
      <c r="J250" s="26"/>
      <c r="K250" s="26"/>
      <c r="L250" s="13"/>
      <c r="M250" s="24" t="s">
        <v>412</v>
      </c>
      <c r="N250" s="13">
        <f t="shared" si="136"/>
        <v>140.9</v>
      </c>
      <c r="O250" s="13">
        <f t="shared" si="134"/>
        <v>140.9</v>
      </c>
      <c r="P250" s="13"/>
      <c r="Q250" s="13"/>
      <c r="R250" s="13"/>
      <c r="S250" s="13"/>
      <c r="T250" s="13"/>
      <c r="U250" s="13"/>
      <c r="V250" s="13">
        <v>140.9</v>
      </c>
      <c r="W250" s="13">
        <v>140.9</v>
      </c>
      <c r="X250" s="13">
        <f t="shared" si="131"/>
        <v>140.9</v>
      </c>
      <c r="Y250" s="13"/>
      <c r="Z250" s="13"/>
      <c r="AA250" s="13"/>
      <c r="AB250" s="13">
        <v>140.9</v>
      </c>
      <c r="AC250" s="13">
        <f t="shared" si="132"/>
        <v>140.9</v>
      </c>
      <c r="AD250" s="13"/>
      <c r="AE250" s="13"/>
      <c r="AF250" s="13"/>
      <c r="AG250" s="13">
        <v>140.9</v>
      </c>
      <c r="AH250" s="13">
        <f>AI250+AJ250+AK250+AL250</f>
        <v>140.9</v>
      </c>
      <c r="AI250" s="13"/>
      <c r="AJ250" s="13"/>
      <c r="AK250" s="13"/>
      <c r="AL250" s="13">
        <v>140.9</v>
      </c>
      <c r="AM250" s="13">
        <f t="shared" si="135"/>
        <v>140.9</v>
      </c>
      <c r="AN250" s="13"/>
      <c r="AO250" s="13"/>
      <c r="AP250" s="13"/>
      <c r="AQ250" s="13">
        <v>140.9</v>
      </c>
    </row>
    <row r="251" spans="1:43" ht="35.1" customHeight="1" thickBot="1">
      <c r="A251" s="53"/>
      <c r="B251" s="54"/>
      <c r="C251" s="26"/>
      <c r="D251" s="26"/>
      <c r="E251" s="26"/>
      <c r="F251" s="26"/>
      <c r="G251" s="26"/>
      <c r="H251" s="26"/>
      <c r="I251" s="26"/>
      <c r="J251" s="26"/>
      <c r="K251" s="26"/>
      <c r="L251" s="13"/>
      <c r="M251" s="24" t="s">
        <v>413</v>
      </c>
      <c r="N251" s="13">
        <f t="shared" si="136"/>
        <v>86.4</v>
      </c>
      <c r="O251" s="13">
        <f t="shared" si="134"/>
        <v>77.5</v>
      </c>
      <c r="P251" s="13"/>
      <c r="Q251" s="13"/>
      <c r="R251" s="13">
        <v>86.4</v>
      </c>
      <c r="S251" s="13">
        <v>77.5</v>
      </c>
      <c r="T251" s="13"/>
      <c r="U251" s="13"/>
      <c r="V251" s="13"/>
      <c r="W251" s="13"/>
      <c r="X251" s="13">
        <f t="shared" si="131"/>
        <v>0</v>
      </c>
      <c r="Y251" s="13"/>
      <c r="Z251" s="13"/>
      <c r="AA251" s="13"/>
      <c r="AB251" s="13"/>
      <c r="AC251" s="13">
        <f t="shared" si="132"/>
        <v>0</v>
      </c>
      <c r="AD251" s="13"/>
      <c r="AE251" s="13"/>
      <c r="AF251" s="13"/>
      <c r="AG251" s="13"/>
      <c r="AH251" s="13">
        <f>AI251+AJ251+AK251+AL251</f>
        <v>0</v>
      </c>
      <c r="AI251" s="13"/>
      <c r="AJ251" s="13"/>
      <c r="AK251" s="13"/>
      <c r="AL251" s="13"/>
      <c r="AM251" s="13">
        <f t="shared" si="135"/>
        <v>0</v>
      </c>
      <c r="AN251" s="13"/>
      <c r="AO251" s="13"/>
      <c r="AP251" s="13"/>
      <c r="AQ251" s="13"/>
    </row>
    <row r="252" spans="1:43" ht="35.1" customHeight="1" thickBot="1">
      <c r="A252" s="53"/>
      <c r="B252" s="54"/>
      <c r="C252" s="228"/>
      <c r="D252" s="228"/>
      <c r="E252" s="228"/>
      <c r="F252" s="228"/>
      <c r="G252" s="228"/>
      <c r="H252" s="228"/>
      <c r="I252" s="228" t="s">
        <v>302</v>
      </c>
      <c r="J252" s="228" t="s">
        <v>147</v>
      </c>
      <c r="K252" s="7" t="s">
        <v>762</v>
      </c>
      <c r="L252" s="13"/>
      <c r="M252" s="24" t="s">
        <v>414</v>
      </c>
      <c r="N252" s="13">
        <f t="shared" si="136"/>
        <v>612.9</v>
      </c>
      <c r="O252" s="13">
        <f t="shared" si="134"/>
        <v>571.1</v>
      </c>
      <c r="P252" s="13"/>
      <c r="Q252" s="13"/>
      <c r="R252" s="13"/>
      <c r="S252" s="13"/>
      <c r="T252" s="13"/>
      <c r="U252" s="13"/>
      <c r="V252" s="13">
        <v>612.9</v>
      </c>
      <c r="W252" s="13">
        <v>571.1</v>
      </c>
      <c r="X252" s="13">
        <f t="shared" si="131"/>
        <v>955.4</v>
      </c>
      <c r="Y252" s="13"/>
      <c r="Z252" s="13"/>
      <c r="AA252" s="13"/>
      <c r="AB252" s="13">
        <v>955.4</v>
      </c>
      <c r="AC252" s="13">
        <f t="shared" si="132"/>
        <v>955.4</v>
      </c>
      <c r="AD252" s="13"/>
      <c r="AE252" s="13"/>
      <c r="AF252" s="13"/>
      <c r="AG252" s="13">
        <v>955.4</v>
      </c>
      <c r="AH252" s="13">
        <f>AI252+AJ252+AK252+AL252</f>
        <v>955.4</v>
      </c>
      <c r="AI252" s="13"/>
      <c r="AJ252" s="13"/>
      <c r="AK252" s="13"/>
      <c r="AL252" s="13">
        <v>955.4</v>
      </c>
      <c r="AM252" s="13">
        <f t="shared" si="135"/>
        <v>955.4</v>
      </c>
      <c r="AN252" s="13"/>
      <c r="AO252" s="13"/>
      <c r="AP252" s="13"/>
      <c r="AQ252" s="13">
        <v>955.4</v>
      </c>
    </row>
    <row r="253" spans="1:43" ht="35.1" customHeight="1" thickBot="1">
      <c r="A253" s="53"/>
      <c r="B253" s="54"/>
      <c r="C253" s="228"/>
      <c r="D253" s="228"/>
      <c r="E253" s="228"/>
      <c r="F253" s="228"/>
      <c r="G253" s="228"/>
      <c r="H253" s="228"/>
      <c r="I253" s="70"/>
      <c r="J253" s="228"/>
      <c r="K253" s="91"/>
      <c r="L253" s="13"/>
      <c r="M253" s="24" t="s">
        <v>415</v>
      </c>
      <c r="N253" s="13">
        <f t="shared" si="136"/>
        <v>82.5</v>
      </c>
      <c r="O253" s="13">
        <f t="shared" si="134"/>
        <v>37.299999999999997</v>
      </c>
      <c r="P253" s="13"/>
      <c r="Q253" s="13"/>
      <c r="R253" s="13">
        <v>82.5</v>
      </c>
      <c r="S253" s="13">
        <v>37.299999999999997</v>
      </c>
      <c r="T253" s="13"/>
      <c r="U253" s="13"/>
      <c r="V253" s="13"/>
      <c r="W253" s="13"/>
      <c r="X253" s="13">
        <f t="shared" si="131"/>
        <v>0</v>
      </c>
      <c r="Y253" s="13"/>
      <c r="Z253" s="13"/>
      <c r="AA253" s="13"/>
      <c r="AB253" s="13"/>
      <c r="AC253" s="13"/>
      <c r="AD253" s="13"/>
      <c r="AE253" s="13"/>
      <c r="AF253" s="13"/>
      <c r="AG253" s="13"/>
      <c r="AH253" s="13"/>
      <c r="AI253" s="13"/>
      <c r="AJ253" s="13"/>
      <c r="AK253" s="13"/>
      <c r="AL253" s="13"/>
      <c r="AM253" s="13"/>
      <c r="AN253" s="13"/>
      <c r="AO253" s="13"/>
      <c r="AP253" s="13"/>
      <c r="AQ253" s="13"/>
    </row>
    <row r="254" spans="1:43" ht="35.1" customHeight="1" thickBot="1">
      <c r="A254" s="53"/>
      <c r="B254" s="54"/>
      <c r="C254" s="228"/>
      <c r="D254" s="228"/>
      <c r="E254" s="228"/>
      <c r="F254" s="228"/>
      <c r="G254" s="228"/>
      <c r="H254" s="228"/>
      <c r="I254" s="70"/>
      <c r="J254" s="228"/>
      <c r="K254" s="7"/>
      <c r="L254" s="13"/>
      <c r="M254" s="24" t="s">
        <v>416</v>
      </c>
      <c r="N254" s="13">
        <f t="shared" si="136"/>
        <v>215.9</v>
      </c>
      <c r="O254" s="13">
        <f t="shared" si="134"/>
        <v>207.7</v>
      </c>
      <c r="P254" s="13"/>
      <c r="Q254" s="13"/>
      <c r="R254" s="13"/>
      <c r="S254" s="13"/>
      <c r="T254" s="13"/>
      <c r="U254" s="13"/>
      <c r="V254" s="13">
        <f>80.9+90+45</f>
        <v>215.9</v>
      </c>
      <c r="W254" s="13">
        <v>207.7</v>
      </c>
      <c r="X254" s="13">
        <f t="shared" si="131"/>
        <v>157.1</v>
      </c>
      <c r="Y254" s="13"/>
      <c r="Z254" s="13"/>
      <c r="AA254" s="13"/>
      <c r="AB254" s="13">
        <v>157.1</v>
      </c>
      <c r="AC254" s="13">
        <f>AD254+AE254+AF254+AG254</f>
        <v>157.1</v>
      </c>
      <c r="AD254" s="13"/>
      <c r="AE254" s="13"/>
      <c r="AF254" s="13"/>
      <c r="AG254" s="13">
        <v>157.1</v>
      </c>
      <c r="AH254" s="13">
        <f>AI254+AJ254+AK254+AL254</f>
        <v>157.1</v>
      </c>
      <c r="AI254" s="13"/>
      <c r="AJ254" s="13"/>
      <c r="AK254" s="13"/>
      <c r="AL254" s="13">
        <v>157.1</v>
      </c>
      <c r="AM254" s="13">
        <f>AN254+AO254+AP254+AQ254</f>
        <v>157.1</v>
      </c>
      <c r="AN254" s="13"/>
      <c r="AO254" s="13"/>
      <c r="AP254" s="13"/>
      <c r="AQ254" s="13">
        <v>157.1</v>
      </c>
    </row>
    <row r="255" spans="1:43" ht="35.1" customHeight="1">
      <c r="A255" s="92"/>
      <c r="B255" s="54"/>
      <c r="C255" s="24"/>
      <c r="D255" s="24"/>
      <c r="E255" s="46"/>
      <c r="F255" s="13"/>
      <c r="G255" s="13"/>
      <c r="H255" s="13"/>
      <c r="I255" s="228" t="s">
        <v>418</v>
      </c>
      <c r="J255" s="16" t="s">
        <v>97</v>
      </c>
      <c r="K255" s="67" t="s">
        <v>740</v>
      </c>
      <c r="L255" s="13"/>
      <c r="M255" s="24" t="s">
        <v>417</v>
      </c>
      <c r="N255" s="13">
        <f t="shared" si="136"/>
        <v>440.7</v>
      </c>
      <c r="O255" s="13">
        <f t="shared" si="134"/>
        <v>440.7</v>
      </c>
      <c r="P255" s="13"/>
      <c r="Q255" s="13"/>
      <c r="R255" s="13"/>
      <c r="S255" s="13"/>
      <c r="T255" s="13"/>
      <c r="U255" s="13"/>
      <c r="V255" s="13">
        <v>440.7</v>
      </c>
      <c r="W255" s="13">
        <v>440.7</v>
      </c>
      <c r="X255" s="13">
        <f t="shared" si="131"/>
        <v>515.29999999999995</v>
      </c>
      <c r="Y255" s="13"/>
      <c r="Z255" s="13"/>
      <c r="AA255" s="13"/>
      <c r="AB255" s="13">
        <v>515.29999999999995</v>
      </c>
      <c r="AC255" s="13">
        <f>AD255+AE255+AF255+AG255</f>
        <v>515.29999999999995</v>
      </c>
      <c r="AD255" s="13"/>
      <c r="AE255" s="13"/>
      <c r="AF255" s="13"/>
      <c r="AG255" s="13">
        <v>515.29999999999995</v>
      </c>
      <c r="AH255" s="13">
        <f>AI255+AJ255+AK255+AL255</f>
        <v>515.29999999999995</v>
      </c>
      <c r="AI255" s="13"/>
      <c r="AJ255" s="13"/>
      <c r="AK255" s="13"/>
      <c r="AL255" s="13">
        <v>515.29999999999995</v>
      </c>
      <c r="AM255" s="13">
        <f>AN255+AO255+AP255+AQ255</f>
        <v>515.29999999999995</v>
      </c>
      <c r="AN255" s="13"/>
      <c r="AO255" s="13"/>
      <c r="AP255" s="13"/>
      <c r="AQ255" s="13">
        <v>515.29999999999995</v>
      </c>
    </row>
    <row r="256" spans="1:43" ht="35.1" customHeight="1">
      <c r="A256" s="92"/>
      <c r="B256" s="54"/>
      <c r="C256" s="24"/>
      <c r="D256" s="24"/>
      <c r="E256" s="46"/>
      <c r="F256" s="13"/>
      <c r="G256" s="13"/>
      <c r="H256" s="13"/>
      <c r="I256" s="252"/>
      <c r="J256" s="252"/>
      <c r="K256" s="252"/>
      <c r="L256" s="13"/>
      <c r="M256" s="24" t="s">
        <v>419</v>
      </c>
      <c r="N256" s="13">
        <f t="shared" si="136"/>
        <v>343</v>
      </c>
      <c r="O256" s="13">
        <f t="shared" si="134"/>
        <v>342.5</v>
      </c>
      <c r="P256" s="13"/>
      <c r="Q256" s="13"/>
      <c r="R256" s="13"/>
      <c r="S256" s="13"/>
      <c r="T256" s="13"/>
      <c r="U256" s="13"/>
      <c r="V256" s="13">
        <v>343</v>
      </c>
      <c r="W256" s="13">
        <v>342.5</v>
      </c>
      <c r="X256" s="13">
        <f t="shared" si="131"/>
        <v>343</v>
      </c>
      <c r="Y256" s="13"/>
      <c r="Z256" s="13"/>
      <c r="AA256" s="13"/>
      <c r="AB256" s="13">
        <v>343</v>
      </c>
      <c r="AC256" s="13">
        <f>AD256+AE256+AF256+AG256</f>
        <v>343</v>
      </c>
      <c r="AD256" s="13"/>
      <c r="AE256" s="13"/>
      <c r="AF256" s="13"/>
      <c r="AG256" s="13">
        <v>343</v>
      </c>
      <c r="AH256" s="13">
        <f>AI256+AJ256+AK256+AL256</f>
        <v>343</v>
      </c>
      <c r="AI256" s="13"/>
      <c r="AJ256" s="13"/>
      <c r="AK256" s="13"/>
      <c r="AL256" s="13">
        <v>343</v>
      </c>
      <c r="AM256" s="13">
        <f>AN256+AO256+AP256+AQ256</f>
        <v>343</v>
      </c>
      <c r="AN256" s="13"/>
      <c r="AO256" s="13"/>
      <c r="AP256" s="13"/>
      <c r="AQ256" s="13">
        <v>343</v>
      </c>
    </row>
    <row r="257" spans="1:43" ht="35.1" customHeight="1">
      <c r="A257" s="92"/>
      <c r="B257" s="54"/>
      <c r="C257" s="266"/>
      <c r="D257" s="266"/>
      <c r="E257" s="266"/>
      <c r="F257" s="47"/>
      <c r="G257" s="228"/>
      <c r="H257" s="67"/>
      <c r="I257" s="252"/>
      <c r="J257" s="252"/>
      <c r="K257" s="252"/>
      <c r="L257" s="13"/>
      <c r="M257" s="24" t="s">
        <v>420</v>
      </c>
      <c r="N257" s="13">
        <f t="shared" si="136"/>
        <v>43.8</v>
      </c>
      <c r="O257" s="13">
        <f t="shared" si="134"/>
        <v>35.299999999999997</v>
      </c>
      <c r="P257" s="13"/>
      <c r="Q257" s="13"/>
      <c r="R257" s="13">
        <v>43.8</v>
      </c>
      <c r="S257" s="13">
        <v>35.299999999999997</v>
      </c>
      <c r="T257" s="13"/>
      <c r="U257" s="13"/>
      <c r="V257" s="13"/>
      <c r="W257" s="13"/>
      <c r="X257" s="13">
        <f t="shared" si="131"/>
        <v>0</v>
      </c>
      <c r="Y257" s="13"/>
      <c r="Z257" s="13"/>
      <c r="AA257" s="13"/>
      <c r="AB257" s="13">
        <v>0</v>
      </c>
      <c r="AC257" s="13">
        <v>0</v>
      </c>
      <c r="AD257" s="13"/>
      <c r="AE257" s="13"/>
      <c r="AF257" s="13"/>
      <c r="AG257" s="13">
        <v>0</v>
      </c>
      <c r="AH257" s="13">
        <v>0</v>
      </c>
      <c r="AI257" s="13"/>
      <c r="AJ257" s="13"/>
      <c r="AK257" s="13"/>
      <c r="AL257" s="13">
        <v>0</v>
      </c>
      <c r="AM257" s="13">
        <v>0</v>
      </c>
      <c r="AN257" s="13"/>
      <c r="AO257" s="13"/>
      <c r="AP257" s="13"/>
      <c r="AQ257" s="13">
        <v>0</v>
      </c>
    </row>
    <row r="258" spans="1:43" ht="35.1" customHeight="1">
      <c r="A258" s="93"/>
      <c r="B258" s="228"/>
      <c r="C258" s="228"/>
      <c r="D258" s="228"/>
      <c r="E258" s="228"/>
      <c r="F258" s="228"/>
      <c r="G258" s="228"/>
      <c r="H258" s="228"/>
      <c r="I258" s="228" t="s">
        <v>787</v>
      </c>
      <c r="J258" s="228" t="s">
        <v>147</v>
      </c>
      <c r="K258" s="63" t="s">
        <v>788</v>
      </c>
      <c r="L258" s="13"/>
      <c r="M258" s="24" t="s">
        <v>421</v>
      </c>
      <c r="N258" s="13">
        <f>P258+R258+T258+V258</f>
        <v>818.3</v>
      </c>
      <c r="O258" s="13">
        <f t="shared" si="134"/>
        <v>797.1</v>
      </c>
      <c r="P258" s="13"/>
      <c r="Q258" s="13"/>
      <c r="R258" s="13"/>
      <c r="S258" s="13"/>
      <c r="T258" s="13"/>
      <c r="U258" s="13"/>
      <c r="V258" s="13">
        <f>758+41.8+119.3-79.4-21.4</f>
        <v>818.3</v>
      </c>
      <c r="W258" s="13">
        <v>797.1</v>
      </c>
      <c r="X258" s="13">
        <f t="shared" si="131"/>
        <v>817.3</v>
      </c>
      <c r="Y258" s="13"/>
      <c r="Z258" s="13"/>
      <c r="AA258" s="13"/>
      <c r="AB258" s="13">
        <v>817.3</v>
      </c>
      <c r="AC258" s="13">
        <f>AD258+AE258+AF258+AG258</f>
        <v>817.3</v>
      </c>
      <c r="AD258" s="13"/>
      <c r="AE258" s="13"/>
      <c r="AF258" s="13"/>
      <c r="AG258" s="13">
        <v>817.3</v>
      </c>
      <c r="AH258" s="13">
        <f>AI258+AJ258+AK258+AL258</f>
        <v>817.3</v>
      </c>
      <c r="AI258" s="13"/>
      <c r="AJ258" s="13"/>
      <c r="AK258" s="13"/>
      <c r="AL258" s="13">
        <v>817.3</v>
      </c>
      <c r="AM258" s="13">
        <f>AN258+AO258+AP258+AQ258</f>
        <v>817.3</v>
      </c>
      <c r="AN258" s="13"/>
      <c r="AO258" s="13"/>
      <c r="AP258" s="13"/>
      <c r="AQ258" s="13">
        <v>817.3</v>
      </c>
    </row>
    <row r="259" spans="1:43" ht="35.1" customHeight="1">
      <c r="A259" s="93"/>
      <c r="B259" s="228"/>
      <c r="C259" s="228"/>
      <c r="D259" s="228"/>
      <c r="E259" s="228"/>
      <c r="F259" s="228"/>
      <c r="G259" s="228"/>
      <c r="H259" s="228"/>
      <c r="I259" s="23"/>
      <c r="J259" s="228"/>
      <c r="K259" s="63"/>
      <c r="L259" s="13"/>
      <c r="M259" s="24" t="s">
        <v>422</v>
      </c>
      <c r="N259" s="13">
        <f>P259+R259+T259+V259</f>
        <v>981.40000000000009</v>
      </c>
      <c r="O259" s="13">
        <f t="shared" si="134"/>
        <v>934.8</v>
      </c>
      <c r="P259" s="13"/>
      <c r="Q259" s="13"/>
      <c r="R259" s="13"/>
      <c r="S259" s="13"/>
      <c r="T259" s="13"/>
      <c r="U259" s="13"/>
      <c r="V259" s="13">
        <f>450.8-5+102.9+340.6+92.1</f>
        <v>981.40000000000009</v>
      </c>
      <c r="W259" s="13">
        <v>934.8</v>
      </c>
      <c r="X259" s="13">
        <f t="shared" si="131"/>
        <v>519.6</v>
      </c>
      <c r="Y259" s="13"/>
      <c r="Z259" s="13"/>
      <c r="AA259" s="13"/>
      <c r="AB259" s="13">
        <v>519.6</v>
      </c>
      <c r="AC259" s="13">
        <f>AD259+AE259+AF259+AG259</f>
        <v>519.6</v>
      </c>
      <c r="AD259" s="13"/>
      <c r="AE259" s="13"/>
      <c r="AF259" s="13"/>
      <c r="AG259" s="13">
        <v>519.6</v>
      </c>
      <c r="AH259" s="13">
        <f>AI259+AJ259+AK259+AL259</f>
        <v>519.6</v>
      </c>
      <c r="AI259" s="13"/>
      <c r="AJ259" s="13"/>
      <c r="AK259" s="13"/>
      <c r="AL259" s="13">
        <v>519.6</v>
      </c>
      <c r="AM259" s="13">
        <f>AN259+AO259+AP259+AQ259</f>
        <v>519.6</v>
      </c>
      <c r="AN259" s="13"/>
      <c r="AO259" s="13"/>
      <c r="AP259" s="13"/>
      <c r="AQ259" s="13">
        <v>519.6</v>
      </c>
    </row>
    <row r="260" spans="1:43" ht="35.1" customHeight="1">
      <c r="A260" s="93"/>
      <c r="B260" s="228"/>
      <c r="C260" s="228"/>
      <c r="D260" s="228"/>
      <c r="E260" s="228"/>
      <c r="F260" s="228"/>
      <c r="G260" s="228"/>
      <c r="H260" s="228"/>
      <c r="I260" s="94"/>
      <c r="J260" s="228"/>
      <c r="K260" s="63"/>
      <c r="L260" s="13"/>
      <c r="M260" s="24" t="s">
        <v>423</v>
      </c>
      <c r="N260" s="13">
        <f>P260+R260+T260+V260</f>
        <v>5</v>
      </c>
      <c r="O260" s="13">
        <f t="shared" si="134"/>
        <v>4.7</v>
      </c>
      <c r="P260" s="13"/>
      <c r="Q260" s="13"/>
      <c r="R260" s="13"/>
      <c r="S260" s="13"/>
      <c r="T260" s="13"/>
      <c r="U260" s="13"/>
      <c r="V260" s="13">
        <v>5</v>
      </c>
      <c r="W260" s="13">
        <v>4.7</v>
      </c>
      <c r="X260" s="13">
        <f t="shared" si="131"/>
        <v>0</v>
      </c>
      <c r="Y260" s="13"/>
      <c r="Z260" s="13"/>
      <c r="AA260" s="13"/>
      <c r="AB260" s="13"/>
      <c r="AC260" s="13">
        <f>AD260+AE260+AF260+AG260</f>
        <v>0</v>
      </c>
      <c r="AD260" s="13"/>
      <c r="AE260" s="13"/>
      <c r="AF260" s="13"/>
      <c r="AG260" s="13"/>
      <c r="AH260" s="13">
        <f>AI260+AJ260+AK260+AL260</f>
        <v>0</v>
      </c>
      <c r="AI260" s="13"/>
      <c r="AJ260" s="13"/>
      <c r="AK260" s="13"/>
      <c r="AL260" s="13"/>
      <c r="AM260" s="13">
        <f>AN260+AO260+AP260+AQ260</f>
        <v>0</v>
      </c>
      <c r="AN260" s="13"/>
      <c r="AO260" s="13"/>
      <c r="AP260" s="13"/>
      <c r="AQ260" s="13"/>
    </row>
    <row r="261" spans="1:43" ht="35.1" customHeight="1">
      <c r="A261" s="93"/>
      <c r="B261" s="228"/>
      <c r="C261" s="228"/>
      <c r="D261" s="228"/>
      <c r="E261" s="228"/>
      <c r="F261" s="228"/>
      <c r="G261" s="228"/>
      <c r="H261" s="228"/>
      <c r="I261" s="228"/>
      <c r="J261" s="228"/>
      <c r="K261" s="63"/>
      <c r="L261" s="13"/>
      <c r="M261" s="24" t="s">
        <v>424</v>
      </c>
      <c r="N261" s="13">
        <f>P261+R261+T261+V261</f>
        <v>176.1</v>
      </c>
      <c r="O261" s="13">
        <f t="shared" si="134"/>
        <v>173.6</v>
      </c>
      <c r="P261" s="13"/>
      <c r="Q261" s="13"/>
      <c r="R261" s="13"/>
      <c r="S261" s="13"/>
      <c r="T261" s="13"/>
      <c r="U261" s="13"/>
      <c r="V261" s="13">
        <f>145.7+13.9+11.9+4.6</f>
        <v>176.1</v>
      </c>
      <c r="W261" s="13">
        <v>173.6</v>
      </c>
      <c r="X261" s="13">
        <f t="shared" si="131"/>
        <v>177.3</v>
      </c>
      <c r="Y261" s="13"/>
      <c r="Z261" s="13"/>
      <c r="AA261" s="13"/>
      <c r="AB261" s="13">
        <v>177.3</v>
      </c>
      <c r="AC261" s="13">
        <f>AD261+AE261+AF261+AG261</f>
        <v>177.3</v>
      </c>
      <c r="AD261" s="13"/>
      <c r="AE261" s="13"/>
      <c r="AF261" s="13"/>
      <c r="AG261" s="13">
        <v>177.3</v>
      </c>
      <c r="AH261" s="13">
        <f>AI261+AJ261+AK261+AL261</f>
        <v>177.3</v>
      </c>
      <c r="AI261" s="13"/>
      <c r="AJ261" s="13"/>
      <c r="AK261" s="13"/>
      <c r="AL261" s="13">
        <v>177.3</v>
      </c>
      <c r="AM261" s="13">
        <f>AN261+AO261+AP261+AQ261</f>
        <v>177.3</v>
      </c>
      <c r="AN261" s="13"/>
      <c r="AO261" s="13"/>
      <c r="AP261" s="13"/>
      <c r="AQ261" s="13">
        <v>177.3</v>
      </c>
    </row>
    <row r="262" spans="1:43" ht="35.1" customHeight="1">
      <c r="A262" s="93"/>
      <c r="B262" s="228"/>
      <c r="C262" s="211"/>
      <c r="D262" s="212"/>
      <c r="E262" s="42"/>
      <c r="F262" s="228"/>
      <c r="G262" s="212"/>
      <c r="H262" s="228"/>
      <c r="I262" s="16"/>
      <c r="J262" s="91"/>
      <c r="K262" s="24"/>
      <c r="L262" s="13"/>
      <c r="M262" s="24" t="s">
        <v>425</v>
      </c>
      <c r="N262" s="13">
        <f t="shared" ref="N262:N263" si="137">P262+R262+T262+V262</f>
        <v>65.7</v>
      </c>
      <c r="O262" s="13">
        <f t="shared" si="134"/>
        <v>60.7</v>
      </c>
      <c r="P262" s="13"/>
      <c r="Q262" s="13"/>
      <c r="R262" s="13">
        <v>65.7</v>
      </c>
      <c r="S262" s="13">
        <v>60.7</v>
      </c>
      <c r="T262" s="13"/>
      <c r="U262" s="13"/>
      <c r="V262" s="13"/>
      <c r="W262" s="13"/>
      <c r="X262" s="13">
        <f t="shared" si="131"/>
        <v>0</v>
      </c>
      <c r="Y262" s="13"/>
      <c r="Z262" s="13">
        <v>0</v>
      </c>
      <c r="AA262" s="13"/>
      <c r="AB262" s="13"/>
      <c r="AC262" s="13">
        <v>0</v>
      </c>
      <c r="AD262" s="13"/>
      <c r="AE262" s="13"/>
      <c r="AF262" s="13"/>
      <c r="AG262" s="13">
        <v>0</v>
      </c>
      <c r="AH262" s="13">
        <v>0</v>
      </c>
      <c r="AI262" s="13"/>
      <c r="AJ262" s="13"/>
      <c r="AK262" s="13"/>
      <c r="AL262" s="13">
        <v>0</v>
      </c>
      <c r="AM262" s="13">
        <v>0</v>
      </c>
      <c r="AN262" s="13"/>
      <c r="AO262" s="13"/>
      <c r="AP262" s="13"/>
      <c r="AQ262" s="13">
        <v>0</v>
      </c>
    </row>
    <row r="263" spans="1:43" ht="35.1" customHeight="1">
      <c r="A263" s="93"/>
      <c r="B263" s="1"/>
      <c r="C263" s="211"/>
      <c r="D263" s="212"/>
      <c r="E263" s="42"/>
      <c r="F263" s="211"/>
      <c r="G263" s="212"/>
      <c r="H263" s="228"/>
      <c r="I263" s="16"/>
      <c r="J263" s="91"/>
      <c r="K263" s="24"/>
      <c r="L263" s="13"/>
      <c r="M263" s="24" t="s">
        <v>426</v>
      </c>
      <c r="N263" s="13">
        <f t="shared" si="137"/>
        <v>10</v>
      </c>
      <c r="O263" s="13">
        <f t="shared" si="134"/>
        <v>3.7</v>
      </c>
      <c r="P263" s="13"/>
      <c r="Q263" s="13"/>
      <c r="R263" s="13"/>
      <c r="S263" s="13"/>
      <c r="T263" s="13"/>
      <c r="U263" s="13"/>
      <c r="V263" s="13">
        <v>10</v>
      </c>
      <c r="W263" s="13">
        <v>3.7</v>
      </c>
      <c r="X263" s="13">
        <f t="shared" si="131"/>
        <v>0</v>
      </c>
      <c r="Y263" s="13"/>
      <c r="Z263" s="13"/>
      <c r="AA263" s="13"/>
      <c r="AB263" s="13"/>
      <c r="AC263" s="13">
        <v>0</v>
      </c>
      <c r="AD263" s="13"/>
      <c r="AE263" s="13"/>
      <c r="AF263" s="13"/>
      <c r="AG263" s="13">
        <v>0</v>
      </c>
      <c r="AH263" s="13">
        <v>0</v>
      </c>
      <c r="AI263" s="13"/>
      <c r="AJ263" s="13"/>
      <c r="AK263" s="13"/>
      <c r="AL263" s="13">
        <v>0</v>
      </c>
      <c r="AM263" s="13">
        <v>0</v>
      </c>
      <c r="AN263" s="13"/>
      <c r="AO263" s="13"/>
      <c r="AP263" s="13"/>
      <c r="AQ263" s="13">
        <v>0</v>
      </c>
    </row>
    <row r="264" spans="1:43" ht="35.1" customHeight="1">
      <c r="A264" s="93"/>
      <c r="B264" s="228"/>
      <c r="C264" s="228"/>
      <c r="D264" s="228"/>
      <c r="E264" s="228"/>
      <c r="F264" s="228"/>
      <c r="G264" s="318"/>
      <c r="H264" s="13"/>
      <c r="I264" s="252"/>
      <c r="J264" s="252"/>
      <c r="K264" s="252"/>
      <c r="L264" s="13"/>
      <c r="M264" s="228" t="s">
        <v>427</v>
      </c>
      <c r="N264" s="13">
        <f>P264+T264+V264</f>
        <v>2918.5</v>
      </c>
      <c r="O264" s="13">
        <f t="shared" si="134"/>
        <v>2904</v>
      </c>
      <c r="P264" s="13"/>
      <c r="Q264" s="13"/>
      <c r="R264" s="13"/>
      <c r="S264" s="13"/>
      <c r="T264" s="13"/>
      <c r="U264" s="13"/>
      <c r="V264" s="13">
        <f>2714.4+153.1+51</f>
        <v>2918.5</v>
      </c>
      <c r="W264" s="13">
        <v>2904</v>
      </c>
      <c r="X264" s="13">
        <f>Y264+Z264+AA264+AB264</f>
        <v>2903.5</v>
      </c>
      <c r="Y264" s="13"/>
      <c r="Z264" s="13"/>
      <c r="AA264" s="13"/>
      <c r="AB264" s="13">
        <v>2903.5</v>
      </c>
      <c r="AC264" s="13">
        <f>AD264+AE264+AF264+AG264</f>
        <v>2903.5</v>
      </c>
      <c r="AD264" s="13"/>
      <c r="AE264" s="13"/>
      <c r="AF264" s="13"/>
      <c r="AG264" s="13">
        <v>2903.5</v>
      </c>
      <c r="AH264" s="13">
        <f>AI264+AJ264+AK264+AL264</f>
        <v>2903.5</v>
      </c>
      <c r="AI264" s="13"/>
      <c r="AJ264" s="13"/>
      <c r="AK264" s="13"/>
      <c r="AL264" s="13">
        <v>2903.5</v>
      </c>
      <c r="AM264" s="13">
        <f>AN264+AO264+AP264+AQ264</f>
        <v>2903.5</v>
      </c>
      <c r="AN264" s="13"/>
      <c r="AO264" s="13"/>
      <c r="AP264" s="13"/>
      <c r="AQ264" s="13">
        <v>2903.5</v>
      </c>
    </row>
    <row r="265" spans="1:43" ht="35.1" customHeight="1">
      <c r="A265" s="93"/>
      <c r="B265" s="16"/>
      <c r="C265" s="12"/>
      <c r="D265" s="228"/>
      <c r="E265" s="228"/>
      <c r="F265" s="228"/>
      <c r="G265" s="318"/>
      <c r="H265" s="13"/>
      <c r="I265" s="252"/>
      <c r="J265" s="252"/>
      <c r="K265" s="252"/>
      <c r="L265" s="13"/>
      <c r="M265" s="24" t="s">
        <v>428</v>
      </c>
      <c r="N265" s="13">
        <f>P265+R264+T265+V265</f>
        <v>1432.9</v>
      </c>
      <c r="O265" s="13">
        <f t="shared" si="134"/>
        <v>1423.8</v>
      </c>
      <c r="P265" s="13"/>
      <c r="Q265" s="13"/>
      <c r="R265" s="249"/>
      <c r="S265" s="13"/>
      <c r="T265" s="13"/>
      <c r="U265" s="13"/>
      <c r="V265" s="13">
        <f>1682.2-10-17.3-222</f>
        <v>1432.9</v>
      </c>
      <c r="W265" s="13">
        <v>1423.8</v>
      </c>
      <c r="X265" s="13">
        <f>Y265+Z265+AA265+AB265</f>
        <v>1688</v>
      </c>
      <c r="Y265" s="13"/>
      <c r="Z265" s="13"/>
      <c r="AA265" s="13"/>
      <c r="AB265" s="13">
        <v>1688</v>
      </c>
      <c r="AC265" s="13">
        <f>AD265+AE265+AF265+AG265</f>
        <v>1688</v>
      </c>
      <c r="AD265" s="13"/>
      <c r="AE265" s="13"/>
      <c r="AF265" s="13"/>
      <c r="AG265" s="13">
        <v>1688</v>
      </c>
      <c r="AH265" s="13">
        <f>AI265+AJ265+AK265+AL265</f>
        <v>1688</v>
      </c>
      <c r="AI265" s="13"/>
      <c r="AJ265" s="13"/>
      <c r="AK265" s="13"/>
      <c r="AL265" s="13">
        <v>1688</v>
      </c>
      <c r="AM265" s="13">
        <f>AN265+AO265+AP265+AQ265</f>
        <v>1688</v>
      </c>
      <c r="AN265" s="13"/>
      <c r="AO265" s="13"/>
      <c r="AP265" s="13"/>
      <c r="AQ265" s="13">
        <v>1688</v>
      </c>
    </row>
    <row r="266" spans="1:43" ht="35.1" customHeight="1">
      <c r="A266" s="93"/>
      <c r="B266" s="16"/>
      <c r="C266" s="12"/>
      <c r="D266" s="228"/>
      <c r="E266" s="228"/>
      <c r="F266" s="228"/>
      <c r="G266" s="318"/>
      <c r="H266" s="13"/>
      <c r="I266" s="252"/>
      <c r="J266" s="252"/>
      <c r="K266" s="252"/>
      <c r="L266" s="13"/>
      <c r="M266" s="24" t="s">
        <v>429</v>
      </c>
      <c r="N266" s="13">
        <f>P266+R266+V266</f>
        <v>241.1</v>
      </c>
      <c r="O266" s="13">
        <f t="shared" si="134"/>
        <v>241.1</v>
      </c>
      <c r="P266" s="13"/>
      <c r="Q266" s="13"/>
      <c r="R266" s="13">
        <v>241.1</v>
      </c>
      <c r="S266" s="13">
        <v>241.1</v>
      </c>
      <c r="T266" s="13"/>
      <c r="U266" s="13"/>
      <c r="V266" s="13"/>
      <c r="W266" s="13"/>
      <c r="X266" s="13">
        <f>Y266+Z266+AA266+AB266</f>
        <v>0</v>
      </c>
      <c r="Y266" s="13"/>
      <c r="Z266" s="13">
        <v>0</v>
      </c>
      <c r="AA266" s="13"/>
      <c r="AB266" s="13"/>
      <c r="AC266" s="13">
        <v>0</v>
      </c>
      <c r="AD266" s="13"/>
      <c r="AE266" s="13">
        <v>0</v>
      </c>
      <c r="AF266" s="13"/>
      <c r="AG266" s="13"/>
      <c r="AH266" s="13">
        <v>0</v>
      </c>
      <c r="AI266" s="13"/>
      <c r="AJ266" s="13">
        <v>0</v>
      </c>
      <c r="AK266" s="13"/>
      <c r="AL266" s="13"/>
      <c r="AM266" s="13">
        <v>0</v>
      </c>
      <c r="AN266" s="13"/>
      <c r="AO266" s="13">
        <v>0</v>
      </c>
      <c r="AP266" s="13"/>
      <c r="AQ266" s="13"/>
    </row>
    <row r="267" spans="1:43" ht="35.1" customHeight="1">
      <c r="A267" s="93"/>
      <c r="B267" s="16"/>
      <c r="C267" s="12"/>
      <c r="D267" s="228"/>
      <c r="E267" s="228"/>
      <c r="F267" s="228"/>
      <c r="G267" s="95"/>
      <c r="H267" s="240"/>
      <c r="I267" s="45" t="s">
        <v>898</v>
      </c>
      <c r="J267" s="183" t="s">
        <v>97</v>
      </c>
      <c r="K267" s="45" t="s">
        <v>897</v>
      </c>
      <c r="L267" s="13"/>
      <c r="M267" s="24" t="s">
        <v>430</v>
      </c>
      <c r="N267" s="13">
        <f>P267+R267+T267+V267</f>
        <v>213.4</v>
      </c>
      <c r="O267" s="13">
        <f t="shared" si="134"/>
        <v>198.3</v>
      </c>
      <c r="P267" s="13"/>
      <c r="Q267" s="13"/>
      <c r="R267" s="13"/>
      <c r="S267" s="13"/>
      <c r="T267" s="13"/>
      <c r="U267" s="13"/>
      <c r="V267" s="13">
        <f>185.6+20.9+7-0.1</f>
        <v>213.4</v>
      </c>
      <c r="W267" s="13">
        <v>198.3</v>
      </c>
      <c r="X267" s="13">
        <f>Y267+Z267+AA267+AB267</f>
        <v>211.5</v>
      </c>
      <c r="Y267" s="13"/>
      <c r="Z267" s="13"/>
      <c r="AA267" s="13"/>
      <c r="AB267" s="13">
        <v>211.5</v>
      </c>
      <c r="AC267" s="13">
        <f>AD267+AE267+AF267+AG267</f>
        <v>211.5</v>
      </c>
      <c r="AD267" s="13"/>
      <c r="AE267" s="13"/>
      <c r="AF267" s="13"/>
      <c r="AG267" s="13">
        <v>211.5</v>
      </c>
      <c r="AH267" s="13">
        <f>AI267+AJ267+AK267+AL267</f>
        <v>211.5</v>
      </c>
      <c r="AI267" s="13"/>
      <c r="AJ267" s="13"/>
      <c r="AK267" s="13"/>
      <c r="AL267" s="13">
        <v>211.5</v>
      </c>
      <c r="AM267" s="13">
        <f>AN267+AO267+AP267+AQ267</f>
        <v>211.5</v>
      </c>
      <c r="AN267" s="13"/>
      <c r="AO267" s="13">
        <v>0</v>
      </c>
      <c r="AP267" s="13"/>
      <c r="AQ267" s="13">
        <v>211.5</v>
      </c>
    </row>
    <row r="268" spans="1:43" ht="35.1" customHeight="1">
      <c r="A268" s="96" t="s">
        <v>431</v>
      </c>
      <c r="B268" s="97">
        <v>2602</v>
      </c>
      <c r="C268" s="48"/>
      <c r="D268" s="98"/>
      <c r="E268" s="49"/>
      <c r="F268" s="49"/>
      <c r="G268" s="49"/>
      <c r="H268" s="49"/>
      <c r="I268" s="99"/>
      <c r="J268" s="99"/>
      <c r="K268" s="99"/>
      <c r="L268" s="49">
        <v>1</v>
      </c>
      <c r="M268" s="24"/>
      <c r="N268" s="20">
        <f>N269+N270+N271+N275+N276+N277+N278+N280+N282+N285+N287+N289+N290+N283+N272+N273+N274+N279+N281+N284+N286+N288</f>
        <v>68427.8</v>
      </c>
      <c r="O268" s="20">
        <f t="shared" ref="O268:AQ268" si="138">O269+O270+O271+O275+O276+O277+O278+O280+O282+O285+O287+O289+O290+O283+O272+O273+O274+O279+O281+O284+O286+O288</f>
        <v>66936.600000000006</v>
      </c>
      <c r="P268" s="20">
        <f t="shared" si="138"/>
        <v>0</v>
      </c>
      <c r="Q268" s="20">
        <f t="shared" si="138"/>
        <v>0</v>
      </c>
      <c r="R268" s="20">
        <f t="shared" si="138"/>
        <v>4298.6000000000004</v>
      </c>
      <c r="S268" s="20">
        <f t="shared" si="138"/>
        <v>4079.8</v>
      </c>
      <c r="T268" s="20">
        <f t="shared" si="138"/>
        <v>0</v>
      </c>
      <c r="U268" s="20">
        <f t="shared" si="138"/>
        <v>0</v>
      </c>
      <c r="V268" s="20">
        <f t="shared" si="138"/>
        <v>64129.2</v>
      </c>
      <c r="W268" s="20">
        <f t="shared" si="138"/>
        <v>62856.799999999996</v>
      </c>
      <c r="X268" s="20">
        <f t="shared" si="138"/>
        <v>68147</v>
      </c>
      <c r="Y268" s="20">
        <f t="shared" si="138"/>
        <v>0</v>
      </c>
      <c r="Z268" s="20">
        <f t="shared" si="138"/>
        <v>0</v>
      </c>
      <c r="AA268" s="20">
        <f t="shared" si="138"/>
        <v>0</v>
      </c>
      <c r="AB268" s="20">
        <f t="shared" si="138"/>
        <v>68147</v>
      </c>
      <c r="AC268" s="20">
        <f t="shared" si="138"/>
        <v>68147</v>
      </c>
      <c r="AD268" s="20">
        <f t="shared" si="138"/>
        <v>0</v>
      </c>
      <c r="AE268" s="20">
        <f t="shared" si="138"/>
        <v>0</v>
      </c>
      <c r="AF268" s="20">
        <f t="shared" si="138"/>
        <v>0</v>
      </c>
      <c r="AG268" s="20">
        <f t="shared" si="138"/>
        <v>68147</v>
      </c>
      <c r="AH268" s="20">
        <f t="shared" si="138"/>
        <v>68147</v>
      </c>
      <c r="AI268" s="20">
        <f t="shared" si="138"/>
        <v>0</v>
      </c>
      <c r="AJ268" s="20">
        <f t="shared" si="138"/>
        <v>0</v>
      </c>
      <c r="AK268" s="20">
        <f t="shared" si="138"/>
        <v>0</v>
      </c>
      <c r="AL268" s="20">
        <f t="shared" si="138"/>
        <v>68147</v>
      </c>
      <c r="AM268" s="20">
        <f t="shared" si="138"/>
        <v>68147</v>
      </c>
      <c r="AN268" s="20">
        <f t="shared" si="138"/>
        <v>0</v>
      </c>
      <c r="AO268" s="20">
        <f t="shared" si="138"/>
        <v>0</v>
      </c>
      <c r="AP268" s="20">
        <f t="shared" si="138"/>
        <v>0</v>
      </c>
      <c r="AQ268" s="20">
        <f t="shared" si="138"/>
        <v>68147</v>
      </c>
    </row>
    <row r="269" spans="1:43" ht="35.1" customHeight="1">
      <c r="A269" s="93"/>
      <c r="B269" s="100"/>
      <c r="C269" s="235" t="s">
        <v>718</v>
      </c>
      <c r="D269" s="211" t="s">
        <v>719</v>
      </c>
      <c r="E269" s="211" t="s">
        <v>720</v>
      </c>
      <c r="F269" s="232" t="s">
        <v>387</v>
      </c>
      <c r="G269" s="232" t="s">
        <v>35</v>
      </c>
      <c r="H269" s="232" t="s">
        <v>36</v>
      </c>
      <c r="I269" s="71" t="s">
        <v>721</v>
      </c>
      <c r="J269" s="71" t="s">
        <v>739</v>
      </c>
      <c r="K269" s="179" t="s">
        <v>717</v>
      </c>
      <c r="L269" s="13"/>
      <c r="M269" s="220" t="s">
        <v>432</v>
      </c>
      <c r="N269" s="13">
        <f>P269+R269+T269+V269</f>
        <v>822</v>
      </c>
      <c r="O269" s="13">
        <f>Q269+S269+U269+W269</f>
        <v>822</v>
      </c>
      <c r="P269" s="13"/>
      <c r="Q269" s="13"/>
      <c r="R269" s="13"/>
      <c r="S269" s="13"/>
      <c r="T269" s="13"/>
      <c r="U269" s="13"/>
      <c r="V269" s="13">
        <f>760.5+46.1+15.4</f>
        <v>822</v>
      </c>
      <c r="W269" s="13">
        <v>822</v>
      </c>
      <c r="X269" s="13">
        <f t="shared" ref="X269:X288" si="139">Y269+Z269+AA269+AB269</f>
        <v>814.5</v>
      </c>
      <c r="Y269" s="13"/>
      <c r="Z269" s="13"/>
      <c r="AA269" s="13"/>
      <c r="AB269" s="13">
        <v>814.5</v>
      </c>
      <c r="AC269" s="13">
        <f>AD269+AE269+AF269+AG269</f>
        <v>814.5</v>
      </c>
      <c r="AD269" s="13"/>
      <c r="AE269" s="13"/>
      <c r="AF269" s="13"/>
      <c r="AG269" s="13">
        <v>814.5</v>
      </c>
      <c r="AH269" s="13">
        <f>AI269+AJ269+AK269+AL269</f>
        <v>814.5</v>
      </c>
      <c r="AI269" s="13"/>
      <c r="AJ269" s="13"/>
      <c r="AK269" s="13"/>
      <c r="AL269" s="13">
        <v>814.5</v>
      </c>
      <c r="AM269" s="13">
        <f>AN269+AO269+AP269+AQ269</f>
        <v>814.5</v>
      </c>
      <c r="AN269" s="13"/>
      <c r="AO269" s="13"/>
      <c r="AP269" s="13"/>
      <c r="AQ269" s="13">
        <v>814.5</v>
      </c>
    </row>
    <row r="270" spans="1:43" ht="35.1" customHeight="1" thickBot="1">
      <c r="A270" s="101"/>
      <c r="B270" s="90"/>
      <c r="C270" s="216" t="s">
        <v>393</v>
      </c>
      <c r="D270" s="235" t="s">
        <v>35</v>
      </c>
      <c r="E270" s="235" t="s">
        <v>394</v>
      </c>
      <c r="F270" s="232" t="s">
        <v>395</v>
      </c>
      <c r="G270" s="222" t="s">
        <v>35</v>
      </c>
      <c r="H270" s="187" t="s">
        <v>56</v>
      </c>
      <c r="I270" s="229" t="s">
        <v>398</v>
      </c>
      <c r="J270" s="211" t="s">
        <v>399</v>
      </c>
      <c r="K270" s="67" t="s">
        <v>400</v>
      </c>
      <c r="L270" s="13"/>
      <c r="M270" s="24" t="s">
        <v>433</v>
      </c>
      <c r="N270" s="13">
        <f>P270+R270+T270+V270</f>
        <v>2455.8000000000002</v>
      </c>
      <c r="O270" s="13">
        <f t="shared" ref="O270:O290" si="140">Q270+S270+U270+W270</f>
        <v>2455.8000000000002</v>
      </c>
      <c r="P270" s="13"/>
      <c r="Q270" s="13"/>
      <c r="R270" s="13"/>
      <c r="S270" s="13"/>
      <c r="T270" s="13"/>
      <c r="U270" s="13"/>
      <c r="V270" s="13">
        <f>1826.3+46+538.3+15.4+29.8</f>
        <v>2455.8000000000002</v>
      </c>
      <c r="W270" s="13">
        <v>2455.8000000000002</v>
      </c>
      <c r="X270" s="13">
        <f t="shared" si="139"/>
        <v>1904.9</v>
      </c>
      <c r="Y270" s="13"/>
      <c r="Z270" s="13"/>
      <c r="AA270" s="13"/>
      <c r="AB270" s="13">
        <v>1904.9</v>
      </c>
      <c r="AC270" s="13">
        <f>AD270+AE270+AF270+AG270</f>
        <v>1904.9</v>
      </c>
      <c r="AD270" s="13"/>
      <c r="AE270" s="13"/>
      <c r="AF270" s="13"/>
      <c r="AG270" s="13">
        <v>1904.9</v>
      </c>
      <c r="AH270" s="13">
        <f t="shared" ref="AH270:AH290" si="141">AI270+AJ270+AK270+AL270</f>
        <v>1904.9</v>
      </c>
      <c r="AI270" s="13"/>
      <c r="AJ270" s="13"/>
      <c r="AK270" s="13"/>
      <c r="AL270" s="13">
        <v>1904.9</v>
      </c>
      <c r="AM270" s="13">
        <f t="shared" ref="AM270:AM287" si="142">AN270+AO270+AP270+AQ270</f>
        <v>1904.9</v>
      </c>
      <c r="AN270" s="13"/>
      <c r="AO270" s="13"/>
      <c r="AP270" s="13"/>
      <c r="AQ270" s="13">
        <v>1904.9</v>
      </c>
    </row>
    <row r="271" spans="1:43" ht="35.1" customHeight="1" thickBot="1">
      <c r="A271" s="101"/>
      <c r="B271" s="90"/>
      <c r="C271" s="102"/>
      <c r="D271" s="228"/>
      <c r="E271" s="228"/>
      <c r="F271" s="254"/>
      <c r="G271" s="254"/>
      <c r="H271" s="254"/>
      <c r="I271" s="228" t="s">
        <v>899</v>
      </c>
      <c r="J271" s="16" t="s">
        <v>97</v>
      </c>
      <c r="K271" s="67" t="s">
        <v>900</v>
      </c>
      <c r="L271" s="13"/>
      <c r="M271" s="24" t="s">
        <v>434</v>
      </c>
      <c r="N271" s="13">
        <f>P271+R271+T271+V271</f>
        <v>497.8</v>
      </c>
      <c r="O271" s="13">
        <f t="shared" si="140"/>
        <v>497.8</v>
      </c>
      <c r="P271" s="13"/>
      <c r="Q271" s="13"/>
      <c r="R271" s="13"/>
      <c r="S271" s="13"/>
      <c r="T271" s="13"/>
      <c r="U271" s="13"/>
      <c r="V271" s="13">
        <v>497.8</v>
      </c>
      <c r="W271" s="13">
        <v>497.8</v>
      </c>
      <c r="X271" s="13">
        <f t="shared" si="139"/>
        <v>485.4</v>
      </c>
      <c r="Y271" s="13"/>
      <c r="Z271" s="13"/>
      <c r="AA271" s="13"/>
      <c r="AB271" s="13">
        <v>485.4</v>
      </c>
      <c r="AC271" s="13">
        <f>AD271+AE271+AF271+AG271</f>
        <v>485.4</v>
      </c>
      <c r="AD271" s="13"/>
      <c r="AE271" s="13"/>
      <c r="AF271" s="13"/>
      <c r="AG271" s="13">
        <v>485.4</v>
      </c>
      <c r="AH271" s="13">
        <f t="shared" si="141"/>
        <v>485.4</v>
      </c>
      <c r="AI271" s="13"/>
      <c r="AJ271" s="13"/>
      <c r="AK271" s="13"/>
      <c r="AL271" s="13">
        <v>485.4</v>
      </c>
      <c r="AM271" s="13">
        <f t="shared" si="142"/>
        <v>485.4</v>
      </c>
      <c r="AN271" s="13"/>
      <c r="AO271" s="13"/>
      <c r="AP271" s="13"/>
      <c r="AQ271" s="13">
        <v>485.4</v>
      </c>
    </row>
    <row r="272" spans="1:43" ht="35.1" customHeight="1" thickBot="1">
      <c r="A272" s="101"/>
      <c r="B272" s="90"/>
      <c r="C272" s="268"/>
      <c r="D272" s="228"/>
      <c r="E272" s="228"/>
      <c r="F272" s="254"/>
      <c r="G272" s="254"/>
      <c r="H272" s="254"/>
      <c r="I272" s="269"/>
      <c r="J272" s="228"/>
      <c r="K272" s="174"/>
      <c r="L272" s="13"/>
      <c r="M272" s="24" t="s">
        <v>435</v>
      </c>
      <c r="N272" s="13">
        <f t="shared" ref="N272:N288" si="143">P272+R272+T272+V272</f>
        <v>217.70000000000002</v>
      </c>
      <c r="O272" s="13">
        <f t="shared" si="140"/>
        <v>217.7</v>
      </c>
      <c r="P272" s="13"/>
      <c r="Q272" s="13"/>
      <c r="R272" s="13">
        <f>145.3+64.1-0.2+8.5</f>
        <v>217.70000000000002</v>
      </c>
      <c r="S272" s="13">
        <v>217.7</v>
      </c>
      <c r="T272" s="13"/>
      <c r="U272" s="13"/>
      <c r="V272" s="13"/>
      <c r="W272" s="13"/>
      <c r="X272" s="13">
        <f t="shared" si="139"/>
        <v>0</v>
      </c>
      <c r="Y272" s="13"/>
      <c r="Z272" s="13">
        <v>0</v>
      </c>
      <c r="AA272" s="13"/>
      <c r="AB272" s="13"/>
      <c r="AC272" s="13">
        <v>0</v>
      </c>
      <c r="AD272" s="13"/>
      <c r="AE272" s="13">
        <v>0</v>
      </c>
      <c r="AF272" s="13"/>
      <c r="AG272" s="13"/>
      <c r="AH272" s="13">
        <v>0</v>
      </c>
      <c r="AI272" s="13"/>
      <c r="AJ272" s="13">
        <v>0</v>
      </c>
      <c r="AK272" s="13"/>
      <c r="AL272" s="13"/>
      <c r="AM272" s="13">
        <v>0</v>
      </c>
      <c r="AN272" s="13"/>
      <c r="AO272" s="13">
        <v>0</v>
      </c>
      <c r="AP272" s="13"/>
      <c r="AQ272" s="13"/>
    </row>
    <row r="273" spans="1:43" ht="35.1" customHeight="1" thickBot="1">
      <c r="A273" s="101"/>
      <c r="B273" s="90"/>
      <c r="C273" s="268"/>
      <c r="D273" s="267"/>
      <c r="E273" s="267"/>
      <c r="F273" s="254"/>
      <c r="G273" s="254"/>
      <c r="H273" s="254"/>
      <c r="I273" s="228"/>
      <c r="J273" s="16"/>
      <c r="K273" s="270"/>
      <c r="L273" s="13"/>
      <c r="M273" s="24" t="s">
        <v>436</v>
      </c>
      <c r="N273" s="13">
        <f t="shared" si="143"/>
        <v>192.9</v>
      </c>
      <c r="O273" s="13">
        <f t="shared" si="140"/>
        <v>192.9</v>
      </c>
      <c r="P273" s="13"/>
      <c r="Q273" s="13"/>
      <c r="R273" s="13">
        <v>192.9</v>
      </c>
      <c r="S273" s="13">
        <v>192.9</v>
      </c>
      <c r="T273" s="13"/>
      <c r="U273" s="13"/>
      <c r="V273" s="13"/>
      <c r="W273" s="13"/>
      <c r="X273" s="13">
        <f t="shared" si="139"/>
        <v>0</v>
      </c>
      <c r="Y273" s="13"/>
      <c r="Z273" s="13">
        <v>0</v>
      </c>
      <c r="AA273" s="13"/>
      <c r="AB273" s="13"/>
      <c r="AC273" s="13">
        <v>0</v>
      </c>
      <c r="AD273" s="13"/>
      <c r="AE273" s="13">
        <v>0</v>
      </c>
      <c r="AF273" s="13"/>
      <c r="AG273" s="13"/>
      <c r="AH273" s="13">
        <v>0</v>
      </c>
      <c r="AI273" s="13"/>
      <c r="AJ273" s="13">
        <v>0</v>
      </c>
      <c r="AK273" s="13"/>
      <c r="AL273" s="13"/>
      <c r="AM273" s="13">
        <v>0</v>
      </c>
      <c r="AN273" s="13"/>
      <c r="AO273" s="13">
        <v>0</v>
      </c>
      <c r="AP273" s="13"/>
      <c r="AQ273" s="13"/>
    </row>
    <row r="274" spans="1:43" ht="35.1" customHeight="1" thickBot="1">
      <c r="A274" s="101"/>
      <c r="B274" s="90"/>
      <c r="C274" s="268"/>
      <c r="D274" s="267"/>
      <c r="E274" s="267"/>
      <c r="F274" s="254"/>
      <c r="G274" s="254"/>
      <c r="H274" s="254"/>
      <c r="I274" s="228"/>
      <c r="J274" s="16"/>
      <c r="K274" s="270"/>
      <c r="L274" s="13"/>
      <c r="M274" s="24" t="s">
        <v>437</v>
      </c>
      <c r="N274" s="13">
        <f t="shared" si="143"/>
        <v>2167.4</v>
      </c>
      <c r="O274" s="13">
        <f t="shared" si="140"/>
        <v>2167.4</v>
      </c>
      <c r="P274" s="13"/>
      <c r="Q274" s="13"/>
      <c r="R274" s="13">
        <f>2125.4+42</f>
        <v>2167.4</v>
      </c>
      <c r="S274" s="13">
        <v>2167.4</v>
      </c>
      <c r="T274" s="13"/>
      <c r="U274" s="13"/>
      <c r="V274" s="13"/>
      <c r="W274" s="13"/>
      <c r="X274" s="13">
        <f t="shared" si="139"/>
        <v>0</v>
      </c>
      <c r="Y274" s="13"/>
      <c r="Z274" s="13">
        <v>0</v>
      </c>
      <c r="AA274" s="13"/>
      <c r="AB274" s="13"/>
      <c r="AC274" s="13">
        <v>0</v>
      </c>
      <c r="AD274" s="13"/>
      <c r="AE274" s="13">
        <v>0</v>
      </c>
      <c r="AF274" s="13"/>
      <c r="AG274" s="13"/>
      <c r="AH274" s="13">
        <v>0</v>
      </c>
      <c r="AI274" s="13"/>
      <c r="AJ274" s="13">
        <v>0</v>
      </c>
      <c r="AK274" s="13"/>
      <c r="AL274" s="13"/>
      <c r="AM274" s="13">
        <v>0</v>
      </c>
      <c r="AN274" s="13"/>
      <c r="AO274" s="13">
        <v>0</v>
      </c>
      <c r="AP274" s="13"/>
      <c r="AQ274" s="13"/>
    </row>
    <row r="275" spans="1:43" ht="35.1" customHeight="1" thickBot="1">
      <c r="A275" s="101"/>
      <c r="B275" s="90"/>
      <c r="F275" s="13"/>
      <c r="G275" s="13"/>
      <c r="H275" s="13"/>
      <c r="I275" s="24"/>
      <c r="J275" s="29"/>
      <c r="K275" s="29"/>
      <c r="L275" s="13"/>
      <c r="M275" s="24" t="s">
        <v>438</v>
      </c>
      <c r="N275" s="13">
        <f t="shared" si="143"/>
        <v>2684.4</v>
      </c>
      <c r="O275" s="13">
        <f t="shared" si="140"/>
        <v>2684.4</v>
      </c>
      <c r="P275" s="13"/>
      <c r="Q275" s="13"/>
      <c r="R275" s="13"/>
      <c r="S275" s="13"/>
      <c r="T275" s="13"/>
      <c r="U275" s="13"/>
      <c r="V275" s="13">
        <f>1984+681.3+15.4+3.7</f>
        <v>2684.4</v>
      </c>
      <c r="W275" s="13">
        <v>2684.4</v>
      </c>
      <c r="X275" s="13">
        <f t="shared" si="139"/>
        <v>2130</v>
      </c>
      <c r="Y275" s="13"/>
      <c r="Z275" s="13"/>
      <c r="AA275" s="13"/>
      <c r="AB275" s="13">
        <v>2130</v>
      </c>
      <c r="AC275" s="13">
        <f t="shared" ref="AC275:AC287" si="144">AD275+AE275+AF275+AG275</f>
        <v>2130</v>
      </c>
      <c r="AD275" s="13"/>
      <c r="AE275" s="13"/>
      <c r="AF275" s="13"/>
      <c r="AG275" s="13">
        <v>2130</v>
      </c>
      <c r="AH275" s="13">
        <f t="shared" si="141"/>
        <v>2130</v>
      </c>
      <c r="AI275" s="13"/>
      <c r="AJ275" s="13"/>
      <c r="AK275" s="13"/>
      <c r="AL275" s="13">
        <v>2130</v>
      </c>
      <c r="AM275" s="13">
        <f t="shared" si="142"/>
        <v>2130</v>
      </c>
      <c r="AN275" s="13"/>
      <c r="AO275" s="13"/>
      <c r="AP275" s="13"/>
      <c r="AQ275" s="13">
        <v>2130</v>
      </c>
    </row>
    <row r="276" spans="1:43" ht="35.1" customHeight="1" thickBot="1">
      <c r="A276" s="101"/>
      <c r="B276" s="90"/>
      <c r="C276" s="271"/>
      <c r="D276" s="236"/>
      <c r="E276" s="236"/>
      <c r="F276" s="24"/>
      <c r="G276" s="13"/>
      <c r="H276" s="13"/>
      <c r="I276" s="56"/>
      <c r="J276" s="13"/>
      <c r="K276" s="13"/>
      <c r="L276" s="13"/>
      <c r="M276" s="24" t="s">
        <v>439</v>
      </c>
      <c r="N276" s="13">
        <f t="shared" si="143"/>
        <v>28138.2</v>
      </c>
      <c r="O276" s="13">
        <f t="shared" si="140"/>
        <v>27550.400000000001</v>
      </c>
      <c r="P276" s="13"/>
      <c r="Q276" s="13"/>
      <c r="R276" s="13"/>
      <c r="S276" s="13"/>
      <c r="T276" s="13"/>
      <c r="U276" s="13"/>
      <c r="V276" s="13">
        <f>28395+1382.4+460.8-2100</f>
        <v>28138.2</v>
      </c>
      <c r="W276" s="13">
        <v>27550.400000000001</v>
      </c>
      <c r="X276" s="13">
        <f t="shared" si="139"/>
        <v>32330</v>
      </c>
      <c r="Y276" s="13"/>
      <c r="Z276" s="13"/>
      <c r="AA276" s="13"/>
      <c r="AB276" s="13">
        <v>32330</v>
      </c>
      <c r="AC276" s="13">
        <f t="shared" si="144"/>
        <v>32330</v>
      </c>
      <c r="AD276" s="13"/>
      <c r="AE276" s="13"/>
      <c r="AF276" s="13"/>
      <c r="AG276" s="13">
        <v>32330</v>
      </c>
      <c r="AH276" s="13">
        <f t="shared" si="141"/>
        <v>32330</v>
      </c>
      <c r="AI276" s="13"/>
      <c r="AJ276" s="13"/>
      <c r="AK276" s="13"/>
      <c r="AL276" s="13">
        <v>32330</v>
      </c>
      <c r="AM276" s="13">
        <f t="shared" si="142"/>
        <v>32330</v>
      </c>
      <c r="AN276" s="13"/>
      <c r="AO276" s="13"/>
      <c r="AP276" s="13"/>
      <c r="AQ276" s="13">
        <v>32330</v>
      </c>
    </row>
    <row r="277" spans="1:43" ht="35.1" customHeight="1" thickBot="1">
      <c r="A277" s="101"/>
      <c r="B277" s="90"/>
      <c r="C277" s="272"/>
      <c r="D277" s="237"/>
      <c r="E277" s="237"/>
      <c r="F277" s="24"/>
      <c r="G277" s="13"/>
      <c r="H277" s="13"/>
      <c r="I277" s="24" t="s">
        <v>896</v>
      </c>
      <c r="J277" s="13" t="s">
        <v>97</v>
      </c>
      <c r="K277" s="24" t="s">
        <v>897</v>
      </c>
      <c r="L277" s="13"/>
      <c r="M277" s="24" t="s">
        <v>440</v>
      </c>
      <c r="N277" s="13">
        <f t="shared" si="143"/>
        <v>8553.9</v>
      </c>
      <c r="O277" s="13">
        <f t="shared" si="140"/>
        <v>8266.2999999999993</v>
      </c>
      <c r="P277" s="13"/>
      <c r="Q277" s="13"/>
      <c r="R277" s="13"/>
      <c r="S277" s="13"/>
      <c r="T277" s="13"/>
      <c r="U277" s="13"/>
      <c r="V277" s="13">
        <f>7476.5+875.5-90+291.9</f>
        <v>8553.9</v>
      </c>
      <c r="W277" s="13">
        <v>8266.2999999999993</v>
      </c>
      <c r="X277" s="13">
        <f t="shared" si="139"/>
        <v>8351</v>
      </c>
      <c r="Y277" s="13"/>
      <c r="Z277" s="13"/>
      <c r="AA277" s="13"/>
      <c r="AB277" s="13">
        <v>8351</v>
      </c>
      <c r="AC277" s="13">
        <f t="shared" si="144"/>
        <v>8351</v>
      </c>
      <c r="AD277" s="13"/>
      <c r="AE277" s="13"/>
      <c r="AF277" s="13"/>
      <c r="AG277" s="13">
        <v>8351</v>
      </c>
      <c r="AH277" s="13">
        <f t="shared" si="141"/>
        <v>8351</v>
      </c>
      <c r="AI277" s="13"/>
      <c r="AJ277" s="13"/>
      <c r="AK277" s="13"/>
      <c r="AL277" s="13">
        <v>8351</v>
      </c>
      <c r="AM277" s="13">
        <f t="shared" si="142"/>
        <v>8351</v>
      </c>
      <c r="AN277" s="13"/>
      <c r="AO277" s="13"/>
      <c r="AP277" s="13"/>
      <c r="AQ277" s="13">
        <v>8351</v>
      </c>
    </row>
    <row r="278" spans="1:43" ht="35.1" customHeight="1" thickBot="1">
      <c r="A278" s="101"/>
      <c r="B278" s="90"/>
      <c r="C278" s="26"/>
      <c r="D278" s="26"/>
      <c r="E278" s="26"/>
      <c r="F278" s="26"/>
      <c r="G278" s="26"/>
      <c r="H278" s="26"/>
      <c r="I278" s="26" t="s">
        <v>247</v>
      </c>
      <c r="J278" s="26" t="s">
        <v>147</v>
      </c>
      <c r="K278" s="74" t="s">
        <v>745</v>
      </c>
      <c r="L278" s="13"/>
      <c r="M278" s="24" t="s">
        <v>441</v>
      </c>
      <c r="N278" s="13">
        <f t="shared" si="143"/>
        <v>3339</v>
      </c>
      <c r="O278" s="13">
        <f t="shared" si="140"/>
        <v>3219.8</v>
      </c>
      <c r="P278" s="13"/>
      <c r="Q278" s="13"/>
      <c r="R278" s="13"/>
      <c r="S278" s="13"/>
      <c r="T278" s="13"/>
      <c r="U278" s="13"/>
      <c r="V278" s="13">
        <f>3093.5+184.3+61.2</f>
        <v>3339</v>
      </c>
      <c r="W278" s="13">
        <v>3219.8</v>
      </c>
      <c r="X278" s="13">
        <f t="shared" si="139"/>
        <v>3339.3</v>
      </c>
      <c r="Y278" s="13"/>
      <c r="Z278" s="13"/>
      <c r="AA278" s="13"/>
      <c r="AB278" s="13">
        <v>3339.3</v>
      </c>
      <c r="AC278" s="13">
        <f t="shared" si="144"/>
        <v>3339.3</v>
      </c>
      <c r="AD278" s="13"/>
      <c r="AE278" s="13"/>
      <c r="AF278" s="13"/>
      <c r="AG278" s="13">
        <v>3339.3</v>
      </c>
      <c r="AH278" s="13">
        <f>AI278+AJ278+AK278+AL278</f>
        <v>3339.3</v>
      </c>
      <c r="AI278" s="13"/>
      <c r="AJ278" s="13"/>
      <c r="AK278" s="13"/>
      <c r="AL278" s="13">
        <v>3339.3</v>
      </c>
      <c r="AM278" s="13">
        <f t="shared" si="142"/>
        <v>3339.3</v>
      </c>
      <c r="AN278" s="13"/>
      <c r="AO278" s="13"/>
      <c r="AP278" s="13"/>
      <c r="AQ278" s="13">
        <v>3339.3</v>
      </c>
    </row>
    <row r="279" spans="1:43" ht="35.1" customHeight="1" thickBot="1">
      <c r="A279" s="101"/>
      <c r="B279" s="90"/>
      <c r="C279" s="26"/>
      <c r="D279" s="26"/>
      <c r="E279" s="26"/>
      <c r="F279" s="26"/>
      <c r="G279" s="26"/>
      <c r="H279" s="26"/>
      <c r="I279" s="26"/>
      <c r="J279" s="26"/>
      <c r="K279" s="26"/>
      <c r="L279" s="13"/>
      <c r="M279" s="24" t="s">
        <v>442</v>
      </c>
      <c r="N279" s="13">
        <f t="shared" si="143"/>
        <v>286.3</v>
      </c>
      <c r="O279" s="13">
        <f t="shared" si="140"/>
        <v>261.39999999999998</v>
      </c>
      <c r="P279" s="13"/>
      <c r="Q279" s="13"/>
      <c r="R279" s="13">
        <v>286.3</v>
      </c>
      <c r="S279" s="13">
        <v>261.39999999999998</v>
      </c>
      <c r="T279" s="13"/>
      <c r="U279" s="13"/>
      <c r="V279" s="13"/>
      <c r="W279" s="13"/>
      <c r="X279" s="13">
        <f t="shared" si="139"/>
        <v>0</v>
      </c>
      <c r="Y279" s="13"/>
      <c r="Z279" s="13">
        <v>0</v>
      </c>
      <c r="AA279" s="13"/>
      <c r="AB279" s="13"/>
      <c r="AC279" s="13">
        <v>0</v>
      </c>
      <c r="AD279" s="13"/>
      <c r="AE279" s="13">
        <v>0</v>
      </c>
      <c r="AF279" s="13"/>
      <c r="AG279" s="13"/>
      <c r="AH279" s="13">
        <v>0</v>
      </c>
      <c r="AI279" s="13"/>
      <c r="AJ279" s="13">
        <v>0</v>
      </c>
      <c r="AK279" s="13"/>
      <c r="AL279" s="13"/>
      <c r="AM279" s="13">
        <v>0</v>
      </c>
      <c r="AN279" s="13"/>
      <c r="AO279" s="13">
        <v>0</v>
      </c>
      <c r="AP279" s="13"/>
      <c r="AQ279" s="13"/>
    </row>
    <row r="280" spans="1:43" ht="35.1" customHeight="1" thickBot="1">
      <c r="A280" s="101"/>
      <c r="B280" s="90"/>
      <c r="C280" s="26"/>
      <c r="D280" s="26"/>
      <c r="E280" s="26"/>
      <c r="F280" s="26"/>
      <c r="G280" s="26"/>
      <c r="H280" s="26"/>
      <c r="I280" s="72"/>
      <c r="J280" s="26"/>
      <c r="K280" s="26"/>
      <c r="L280" s="13"/>
      <c r="M280" s="24" t="s">
        <v>443</v>
      </c>
      <c r="N280" s="13">
        <f t="shared" si="143"/>
        <v>466.5</v>
      </c>
      <c r="O280" s="13">
        <f t="shared" si="140"/>
        <v>466.5</v>
      </c>
      <c r="P280" s="13"/>
      <c r="Q280" s="13"/>
      <c r="R280" s="13"/>
      <c r="S280" s="13"/>
      <c r="T280" s="13"/>
      <c r="U280" s="13"/>
      <c r="V280" s="13">
        <f>405+46.1+15.4</f>
        <v>466.5</v>
      </c>
      <c r="W280" s="13">
        <v>466.5</v>
      </c>
      <c r="X280" s="13">
        <f t="shared" si="139"/>
        <v>466.4</v>
      </c>
      <c r="Y280" s="13"/>
      <c r="Z280" s="13"/>
      <c r="AA280" s="13"/>
      <c r="AB280" s="13">
        <v>466.4</v>
      </c>
      <c r="AC280" s="13">
        <f t="shared" si="144"/>
        <v>466.4</v>
      </c>
      <c r="AD280" s="13"/>
      <c r="AE280" s="13"/>
      <c r="AF280" s="13"/>
      <c r="AG280" s="13">
        <v>466.4</v>
      </c>
      <c r="AH280" s="13">
        <f t="shared" si="141"/>
        <v>466.4</v>
      </c>
      <c r="AI280" s="13"/>
      <c r="AJ280" s="13"/>
      <c r="AK280" s="13"/>
      <c r="AL280" s="13">
        <v>466.4</v>
      </c>
      <c r="AM280" s="13">
        <f t="shared" si="142"/>
        <v>466.4</v>
      </c>
      <c r="AN280" s="13"/>
      <c r="AO280" s="13"/>
      <c r="AP280" s="13"/>
      <c r="AQ280" s="13">
        <v>466.4</v>
      </c>
    </row>
    <row r="281" spans="1:43" ht="35.1" customHeight="1" thickBot="1">
      <c r="A281" s="101"/>
      <c r="B281" s="90"/>
      <c r="C281" s="26"/>
      <c r="D281" s="26"/>
      <c r="E281" s="26"/>
      <c r="F281" s="26"/>
      <c r="G281" s="26"/>
      <c r="H281" s="26"/>
      <c r="I281" s="228" t="s">
        <v>302</v>
      </c>
      <c r="J281" s="228" t="s">
        <v>147</v>
      </c>
      <c r="K281" s="7" t="s">
        <v>762</v>
      </c>
      <c r="L281" s="13"/>
      <c r="M281" s="24" t="s">
        <v>444</v>
      </c>
      <c r="N281" s="13">
        <f t="shared" si="143"/>
        <v>273.3</v>
      </c>
      <c r="O281" s="13">
        <f t="shared" si="140"/>
        <v>123.6</v>
      </c>
      <c r="P281" s="13"/>
      <c r="Q281" s="13"/>
      <c r="R281" s="13">
        <v>273.3</v>
      </c>
      <c r="S281" s="13">
        <v>123.6</v>
      </c>
      <c r="T281" s="13"/>
      <c r="U281" s="13"/>
      <c r="V281" s="13"/>
      <c r="W281" s="13"/>
      <c r="X281" s="13">
        <f t="shared" si="139"/>
        <v>0</v>
      </c>
      <c r="Y281" s="13"/>
      <c r="Z281" s="13">
        <v>0</v>
      </c>
      <c r="AA281" s="13"/>
      <c r="AB281" s="13"/>
      <c r="AC281" s="13">
        <v>0</v>
      </c>
      <c r="AD281" s="13"/>
      <c r="AE281" s="13">
        <v>0</v>
      </c>
      <c r="AF281" s="13"/>
      <c r="AG281" s="13"/>
      <c r="AH281" s="13">
        <v>0</v>
      </c>
      <c r="AI281" s="13"/>
      <c r="AJ281" s="13">
        <v>0</v>
      </c>
      <c r="AK281" s="13"/>
      <c r="AL281" s="13"/>
      <c r="AM281" s="13">
        <v>0</v>
      </c>
      <c r="AN281" s="13"/>
      <c r="AO281" s="13">
        <v>0</v>
      </c>
      <c r="AP281" s="13"/>
      <c r="AQ281" s="13"/>
    </row>
    <row r="282" spans="1:43" ht="35.1" customHeight="1" thickBot="1">
      <c r="A282" s="101"/>
      <c r="B282" s="90"/>
      <c r="C282" s="228"/>
      <c r="D282" s="228"/>
      <c r="E282" s="228"/>
      <c r="F282" s="228"/>
      <c r="G282" s="228"/>
      <c r="H282" s="228"/>
      <c r="I282" s="70"/>
      <c r="J282" s="228"/>
      <c r="K282" s="7"/>
      <c r="L282" s="13"/>
      <c r="M282" s="24" t="s">
        <v>445</v>
      </c>
      <c r="N282" s="13">
        <f t="shared" si="143"/>
        <v>2029.5000000000002</v>
      </c>
      <c r="O282" s="13">
        <f t="shared" si="140"/>
        <v>1897.5</v>
      </c>
      <c r="P282" s="13"/>
      <c r="Q282" s="13"/>
      <c r="R282" s="13"/>
      <c r="S282" s="13"/>
      <c r="T282" s="13"/>
      <c r="U282" s="13"/>
      <c r="V282" s="13">
        <f>2917.8+676.2-90-1000+20.9-34.6-460.8</f>
        <v>2029.5000000000002</v>
      </c>
      <c r="W282" s="13">
        <v>1897.5</v>
      </c>
      <c r="X282" s="13">
        <f t="shared" si="139"/>
        <v>3163.6</v>
      </c>
      <c r="Y282" s="13"/>
      <c r="Z282" s="13"/>
      <c r="AA282" s="13"/>
      <c r="AB282" s="13">
        <v>3163.6</v>
      </c>
      <c r="AC282" s="13">
        <f t="shared" si="144"/>
        <v>3163.6</v>
      </c>
      <c r="AD282" s="13"/>
      <c r="AE282" s="13"/>
      <c r="AF282" s="13"/>
      <c r="AG282" s="13">
        <v>3163.6</v>
      </c>
      <c r="AH282" s="13">
        <f t="shared" si="141"/>
        <v>3163.6</v>
      </c>
      <c r="AI282" s="13"/>
      <c r="AJ282" s="13"/>
      <c r="AK282" s="13"/>
      <c r="AL282" s="13">
        <v>3163.6</v>
      </c>
      <c r="AM282" s="13">
        <f t="shared" si="142"/>
        <v>3163.6</v>
      </c>
      <c r="AN282" s="13"/>
      <c r="AO282" s="13"/>
      <c r="AP282" s="13"/>
      <c r="AQ282" s="13">
        <v>3163.6</v>
      </c>
    </row>
    <row r="283" spans="1:43" ht="35.1" customHeight="1" thickBot="1">
      <c r="A283" s="101"/>
      <c r="B283" s="90"/>
      <c r="C283" s="252"/>
      <c r="D283" s="252"/>
      <c r="E283" s="252"/>
      <c r="F283" s="252"/>
      <c r="G283" s="252"/>
      <c r="H283" s="252"/>
      <c r="I283" s="63" t="s">
        <v>398</v>
      </c>
      <c r="J283" s="16" t="s">
        <v>97</v>
      </c>
      <c r="K283" s="63" t="s">
        <v>741</v>
      </c>
      <c r="L283" s="13"/>
      <c r="M283" s="24" t="s">
        <v>446</v>
      </c>
      <c r="N283" s="13">
        <f t="shared" si="143"/>
        <v>1463.5</v>
      </c>
      <c r="O283" s="13">
        <f t="shared" si="140"/>
        <v>1463.5</v>
      </c>
      <c r="P283" s="13"/>
      <c r="Q283" s="13"/>
      <c r="R283" s="13"/>
      <c r="S283" s="13"/>
      <c r="T283" s="13"/>
      <c r="U283" s="13"/>
      <c r="V283" s="13">
        <f>2410.4-538.3-408.6</f>
        <v>1463.5</v>
      </c>
      <c r="W283" s="13">
        <v>1463.5</v>
      </c>
      <c r="X283" s="13">
        <f t="shared" si="139"/>
        <v>1706.4</v>
      </c>
      <c r="Y283" s="13"/>
      <c r="Z283" s="13"/>
      <c r="AA283" s="13"/>
      <c r="AB283" s="13">
        <v>1706.4</v>
      </c>
      <c r="AC283" s="13">
        <f t="shared" si="144"/>
        <v>1706.4</v>
      </c>
      <c r="AD283" s="13"/>
      <c r="AE283" s="13"/>
      <c r="AF283" s="13"/>
      <c r="AG283" s="13">
        <v>1706.4</v>
      </c>
      <c r="AH283" s="13">
        <f t="shared" si="141"/>
        <v>1706.4</v>
      </c>
      <c r="AI283" s="13"/>
      <c r="AJ283" s="13"/>
      <c r="AK283" s="13"/>
      <c r="AL283" s="13">
        <v>1706.4</v>
      </c>
      <c r="AM283" s="13">
        <f t="shared" si="142"/>
        <v>1706.4</v>
      </c>
      <c r="AN283" s="13"/>
      <c r="AO283" s="13"/>
      <c r="AP283" s="13"/>
      <c r="AQ283" s="13">
        <v>1706.4</v>
      </c>
    </row>
    <row r="284" spans="1:43" ht="35.1" customHeight="1" thickBot="1">
      <c r="A284" s="101"/>
      <c r="B284" s="90"/>
      <c r="C284" s="252"/>
      <c r="D284" s="252"/>
      <c r="E284" s="252"/>
      <c r="F284" s="252"/>
      <c r="G284" s="252"/>
      <c r="H284" s="252"/>
      <c r="I284" s="190"/>
      <c r="J284" s="273"/>
      <c r="K284" s="274"/>
      <c r="L284" s="13"/>
      <c r="M284" s="24" t="s">
        <v>447</v>
      </c>
      <c r="N284" s="13">
        <f t="shared" si="143"/>
        <v>145.1</v>
      </c>
      <c r="O284" s="13">
        <f t="shared" si="140"/>
        <v>117</v>
      </c>
      <c r="P284" s="13"/>
      <c r="Q284" s="13"/>
      <c r="R284" s="13">
        <v>145.1</v>
      </c>
      <c r="S284" s="13">
        <v>117</v>
      </c>
      <c r="T284" s="13"/>
      <c r="U284" s="13"/>
      <c r="V284" s="13"/>
      <c r="W284" s="13"/>
      <c r="X284" s="13">
        <f t="shared" si="139"/>
        <v>0</v>
      </c>
      <c r="Y284" s="13"/>
      <c r="Z284" s="13">
        <v>0</v>
      </c>
      <c r="AA284" s="13"/>
      <c r="AB284" s="13"/>
      <c r="AC284" s="13"/>
      <c r="AD284" s="13"/>
      <c r="AE284" s="13"/>
      <c r="AF284" s="13"/>
      <c r="AG284" s="13"/>
      <c r="AH284" s="13"/>
      <c r="AI284" s="13"/>
      <c r="AJ284" s="13"/>
      <c r="AK284" s="13"/>
      <c r="AL284" s="13"/>
      <c r="AM284" s="13"/>
      <c r="AN284" s="13"/>
      <c r="AO284" s="13"/>
      <c r="AP284" s="13"/>
      <c r="AQ284" s="13"/>
    </row>
    <row r="285" spans="1:43" ht="35.1" customHeight="1" thickBot="1">
      <c r="A285" s="101"/>
      <c r="B285" s="90"/>
      <c r="C285" s="228"/>
      <c r="D285" s="228"/>
      <c r="E285" s="228"/>
      <c r="F285" s="228"/>
      <c r="G285" s="228"/>
      <c r="H285" s="228"/>
      <c r="I285" s="228" t="s">
        <v>787</v>
      </c>
      <c r="J285" s="228" t="s">
        <v>147</v>
      </c>
      <c r="K285" s="63" t="s">
        <v>788</v>
      </c>
      <c r="L285" s="13"/>
      <c r="M285" s="24" t="s">
        <v>448</v>
      </c>
      <c r="N285" s="13">
        <f t="shared" si="143"/>
        <v>2723.3000000000006</v>
      </c>
      <c r="O285" s="13">
        <f t="shared" si="140"/>
        <v>2666.6</v>
      </c>
      <c r="P285" s="13"/>
      <c r="Q285" s="13"/>
      <c r="R285" s="13"/>
      <c r="S285" s="13"/>
      <c r="T285" s="13"/>
      <c r="U285" s="13"/>
      <c r="V285" s="13">
        <f>2522+138.3+394.9-261.2-70.7</f>
        <v>2723.3000000000006</v>
      </c>
      <c r="W285" s="13">
        <v>2666.6</v>
      </c>
      <c r="X285" s="13">
        <f t="shared" si="139"/>
        <v>2706.3</v>
      </c>
      <c r="Y285" s="13"/>
      <c r="Z285" s="13"/>
      <c r="AA285" s="13"/>
      <c r="AB285" s="13">
        <v>2706.3</v>
      </c>
      <c r="AC285" s="13">
        <f t="shared" si="144"/>
        <v>2706.3</v>
      </c>
      <c r="AD285" s="13"/>
      <c r="AE285" s="13"/>
      <c r="AF285" s="13"/>
      <c r="AG285" s="13">
        <v>2706.3</v>
      </c>
      <c r="AH285" s="13">
        <f t="shared" si="141"/>
        <v>2706.3</v>
      </c>
      <c r="AI285" s="13"/>
      <c r="AJ285" s="13"/>
      <c r="AK285" s="13"/>
      <c r="AL285" s="13">
        <v>2706.3</v>
      </c>
      <c r="AM285" s="13">
        <f t="shared" si="142"/>
        <v>2706.3</v>
      </c>
      <c r="AN285" s="13"/>
      <c r="AO285" s="13"/>
      <c r="AP285" s="13"/>
      <c r="AQ285" s="13">
        <v>2706.3</v>
      </c>
    </row>
    <row r="286" spans="1:43" ht="35.1" customHeight="1" thickBot="1">
      <c r="A286" s="101"/>
      <c r="B286" s="90"/>
      <c r="C286" s="228"/>
      <c r="D286" s="228"/>
      <c r="E286" s="228"/>
      <c r="F286" s="228"/>
      <c r="G286" s="228"/>
      <c r="H286" s="228"/>
      <c r="I286" s="23" t="s">
        <v>728</v>
      </c>
      <c r="J286" s="228" t="s">
        <v>147</v>
      </c>
      <c r="K286" s="63" t="s">
        <v>753</v>
      </c>
      <c r="L286" s="13"/>
      <c r="M286" s="24" t="s">
        <v>449</v>
      </c>
      <c r="N286" s="13">
        <f t="shared" si="143"/>
        <v>217.7</v>
      </c>
      <c r="O286" s="13">
        <f t="shared" si="140"/>
        <v>201.6</v>
      </c>
      <c r="P286" s="13"/>
      <c r="Q286" s="13"/>
      <c r="R286" s="13">
        <v>217.7</v>
      </c>
      <c r="S286" s="13">
        <v>201.6</v>
      </c>
      <c r="T286" s="13"/>
      <c r="U286" s="13"/>
      <c r="V286" s="13"/>
      <c r="W286" s="13"/>
      <c r="X286" s="13">
        <f t="shared" si="139"/>
        <v>0</v>
      </c>
      <c r="Y286" s="13"/>
      <c r="Z286" s="13">
        <v>0</v>
      </c>
      <c r="AA286" s="13"/>
      <c r="AB286" s="13"/>
      <c r="AC286" s="13">
        <v>0</v>
      </c>
      <c r="AD286" s="13"/>
      <c r="AE286" s="13">
        <v>0</v>
      </c>
      <c r="AF286" s="13"/>
      <c r="AG286" s="13"/>
      <c r="AH286" s="13">
        <v>0</v>
      </c>
      <c r="AI286" s="13"/>
      <c r="AJ286" s="13">
        <v>0</v>
      </c>
      <c r="AK286" s="13"/>
      <c r="AL286" s="13"/>
      <c r="AM286" s="13">
        <v>0</v>
      </c>
      <c r="AN286" s="13"/>
      <c r="AO286" s="13">
        <v>0</v>
      </c>
      <c r="AP286" s="13"/>
      <c r="AQ286" s="13"/>
    </row>
    <row r="287" spans="1:43" ht="35.1" customHeight="1" thickBot="1">
      <c r="A287" s="101"/>
      <c r="B287" s="90"/>
      <c r="C287" s="228"/>
      <c r="D287" s="228"/>
      <c r="E287" s="228"/>
      <c r="F287" s="228"/>
      <c r="G287" s="228"/>
      <c r="H287" s="228"/>
      <c r="I287" s="94" t="s">
        <v>450</v>
      </c>
      <c r="J287" s="228" t="s">
        <v>147</v>
      </c>
      <c r="K287" s="63" t="s">
        <v>789</v>
      </c>
      <c r="L287" s="13"/>
      <c r="M287" s="24" t="s">
        <v>451</v>
      </c>
      <c r="N287" s="13">
        <f t="shared" si="143"/>
        <v>587.19999999999993</v>
      </c>
      <c r="O287" s="13">
        <f t="shared" si="140"/>
        <v>576.20000000000005</v>
      </c>
      <c r="P287" s="13"/>
      <c r="Q287" s="13"/>
      <c r="R287" s="13"/>
      <c r="S287" s="13"/>
      <c r="T287" s="13"/>
      <c r="U287" s="13"/>
      <c r="V287" s="13">
        <f>486.4+46.1+39.3+15.4</f>
        <v>587.19999999999993</v>
      </c>
      <c r="W287" s="13">
        <v>576.20000000000005</v>
      </c>
      <c r="X287" s="13">
        <f t="shared" si="139"/>
        <v>587.20000000000005</v>
      </c>
      <c r="Y287" s="13"/>
      <c r="Z287" s="13"/>
      <c r="AA287" s="13"/>
      <c r="AB287" s="13">
        <v>587.20000000000005</v>
      </c>
      <c r="AC287" s="13">
        <f t="shared" si="144"/>
        <v>587.20000000000005</v>
      </c>
      <c r="AD287" s="13"/>
      <c r="AE287" s="13"/>
      <c r="AF287" s="13"/>
      <c r="AG287" s="13">
        <v>587.20000000000005</v>
      </c>
      <c r="AH287" s="13">
        <f t="shared" si="141"/>
        <v>587.20000000000005</v>
      </c>
      <c r="AI287" s="13"/>
      <c r="AJ287" s="13"/>
      <c r="AK287" s="13"/>
      <c r="AL287" s="13">
        <v>587.20000000000005</v>
      </c>
      <c r="AM287" s="13">
        <f t="shared" si="142"/>
        <v>587.20000000000005</v>
      </c>
      <c r="AN287" s="13"/>
      <c r="AO287" s="13"/>
      <c r="AP287" s="13"/>
      <c r="AQ287" s="13">
        <v>587.20000000000005</v>
      </c>
    </row>
    <row r="288" spans="1:43" ht="35.1" customHeight="1">
      <c r="A288" s="92"/>
      <c r="B288" s="90"/>
      <c r="C288" s="211"/>
      <c r="D288" s="212"/>
      <c r="E288" s="212"/>
      <c r="F288" s="211"/>
      <c r="G288" s="228"/>
      <c r="H288" s="228"/>
      <c r="I288" s="228"/>
      <c r="J288" s="228"/>
      <c r="K288" s="215"/>
      <c r="L288" s="13"/>
      <c r="M288" s="24" t="s">
        <v>452</v>
      </c>
      <c r="N288" s="13">
        <f t="shared" si="143"/>
        <v>798.2</v>
      </c>
      <c r="O288" s="13">
        <f t="shared" si="140"/>
        <v>798.2</v>
      </c>
      <c r="P288" s="13"/>
      <c r="Q288" s="13"/>
      <c r="R288" s="13">
        <v>798.2</v>
      </c>
      <c r="S288" s="13">
        <v>798.2</v>
      </c>
      <c r="T288" s="13"/>
      <c r="U288" s="13"/>
      <c r="V288" s="13"/>
      <c r="W288" s="13"/>
      <c r="X288" s="13">
        <f t="shared" si="139"/>
        <v>0</v>
      </c>
      <c r="Y288" s="13"/>
      <c r="Z288" s="13">
        <v>0</v>
      </c>
      <c r="AA288" s="13"/>
      <c r="AB288" s="13"/>
      <c r="AC288" s="13">
        <v>0</v>
      </c>
      <c r="AD288" s="13"/>
      <c r="AE288" s="13">
        <v>0</v>
      </c>
      <c r="AF288" s="13"/>
      <c r="AG288" s="13"/>
      <c r="AH288" s="13">
        <v>0</v>
      </c>
      <c r="AI288" s="13"/>
      <c r="AJ288" s="13">
        <v>0</v>
      </c>
      <c r="AK288" s="13"/>
      <c r="AL288" s="13"/>
      <c r="AM288" s="13">
        <v>0</v>
      </c>
      <c r="AN288" s="13"/>
      <c r="AO288" s="13">
        <v>0</v>
      </c>
      <c r="AP288" s="13"/>
      <c r="AQ288" s="13"/>
    </row>
    <row r="289" spans="1:43" ht="35.1" customHeight="1">
      <c r="A289" s="93"/>
      <c r="B289" s="16"/>
      <c r="C289" s="322"/>
      <c r="D289" s="103"/>
      <c r="E289" s="103"/>
      <c r="F289" s="241"/>
      <c r="G289" s="13"/>
      <c r="H289" s="12"/>
      <c r="I289" s="104"/>
      <c r="J289" s="231"/>
      <c r="K289" s="105"/>
      <c r="L289" s="13"/>
      <c r="M289" s="24" t="s">
        <v>453</v>
      </c>
      <c r="N289" s="13">
        <f>P289+R289+T289+V289</f>
        <v>9661.2999999999993</v>
      </c>
      <c r="O289" s="13">
        <f t="shared" si="140"/>
        <v>9588.9</v>
      </c>
      <c r="P289" s="13"/>
      <c r="Q289" s="13"/>
      <c r="R289" s="13"/>
      <c r="S289" s="13"/>
      <c r="T289" s="13"/>
      <c r="U289" s="13"/>
      <c r="V289" s="13">
        <f>8985.4+506.9+169</f>
        <v>9661.2999999999993</v>
      </c>
      <c r="W289" s="13">
        <v>9588.9</v>
      </c>
      <c r="X289" s="13">
        <f>Y289+Z289+AA289+AB289</f>
        <v>9455.5</v>
      </c>
      <c r="Y289" s="13"/>
      <c r="Z289" s="13"/>
      <c r="AA289" s="13"/>
      <c r="AB289" s="13">
        <v>9455.5</v>
      </c>
      <c r="AC289" s="13">
        <f>AD289+AE289+AF289+AG289</f>
        <v>9455.5</v>
      </c>
      <c r="AD289" s="13"/>
      <c r="AE289" s="13"/>
      <c r="AF289" s="13"/>
      <c r="AG289" s="13">
        <v>9455.5</v>
      </c>
      <c r="AH289" s="13">
        <f>AI289+AJ289+AK289+AL289</f>
        <v>9455.5</v>
      </c>
      <c r="AI289" s="13"/>
      <c r="AJ289" s="13"/>
      <c r="AK289" s="13"/>
      <c r="AL289" s="13">
        <v>9455.5</v>
      </c>
      <c r="AM289" s="13">
        <f>AN289+AO289+AP289+AQ289</f>
        <v>9455.5</v>
      </c>
      <c r="AN289" s="13"/>
      <c r="AO289" s="13"/>
      <c r="AP289" s="13"/>
      <c r="AQ289" s="13">
        <v>9455.5</v>
      </c>
    </row>
    <row r="290" spans="1:43" ht="35.1" customHeight="1">
      <c r="A290" s="93"/>
      <c r="B290" s="16"/>
      <c r="C290" s="323"/>
      <c r="D290" s="221"/>
      <c r="E290" s="221"/>
      <c r="F290" s="228"/>
      <c r="G290" s="29"/>
      <c r="H290" s="29"/>
      <c r="I290" s="45" t="s">
        <v>898</v>
      </c>
      <c r="J290" s="183" t="s">
        <v>97</v>
      </c>
      <c r="K290" s="45" t="s">
        <v>897</v>
      </c>
      <c r="L290" s="13"/>
      <c r="M290" s="24" t="s">
        <v>454</v>
      </c>
      <c r="N290" s="13">
        <f>P290+R290+T290+V290</f>
        <v>706.80000000000007</v>
      </c>
      <c r="O290" s="13">
        <f t="shared" si="140"/>
        <v>701.1</v>
      </c>
      <c r="P290" s="13"/>
      <c r="Q290" s="13"/>
      <c r="R290" s="13"/>
      <c r="S290" s="13"/>
      <c r="T290" s="13"/>
      <c r="U290" s="13"/>
      <c r="V290" s="13">
        <f>614.6+69.1+23+0.1</f>
        <v>706.80000000000007</v>
      </c>
      <c r="W290" s="13">
        <v>701.1</v>
      </c>
      <c r="X290" s="13">
        <f>Y290+Z290+AA290+AB290</f>
        <v>706.5</v>
      </c>
      <c r="Y290" s="13"/>
      <c r="Z290" s="13"/>
      <c r="AA290" s="13"/>
      <c r="AB290" s="13">
        <v>706.5</v>
      </c>
      <c r="AC290" s="13">
        <f>AD290+AE290+AF290+AG290</f>
        <v>706.5</v>
      </c>
      <c r="AD290" s="13"/>
      <c r="AE290" s="13"/>
      <c r="AF290" s="13"/>
      <c r="AG290" s="13">
        <v>706.5</v>
      </c>
      <c r="AH290" s="13">
        <f t="shared" si="141"/>
        <v>706.5</v>
      </c>
      <c r="AI290" s="13"/>
      <c r="AJ290" s="13"/>
      <c r="AK290" s="13"/>
      <c r="AL290" s="13">
        <v>706.5</v>
      </c>
      <c r="AM290" s="13">
        <f>AN290+AO290+AP290+AQ290</f>
        <v>706.5</v>
      </c>
      <c r="AN290" s="13"/>
      <c r="AO290" s="13"/>
      <c r="AP290" s="13"/>
      <c r="AQ290" s="13">
        <v>706.5</v>
      </c>
    </row>
    <row r="291" spans="1:43" ht="35.1" customHeight="1" thickBot="1">
      <c r="A291" s="14" t="s">
        <v>455</v>
      </c>
      <c r="B291" s="9">
        <v>2601</v>
      </c>
      <c r="C291" s="95"/>
      <c r="D291" s="221"/>
      <c r="E291" s="221"/>
      <c r="F291" s="213"/>
      <c r="G291" s="95"/>
      <c r="H291" s="95"/>
      <c r="I291" s="106"/>
      <c r="J291" s="95"/>
      <c r="K291" s="95"/>
      <c r="L291" s="43">
        <v>13</v>
      </c>
      <c r="M291" s="24"/>
      <c r="N291" s="43"/>
      <c r="O291" s="43"/>
      <c r="P291" s="43"/>
      <c r="Q291" s="43"/>
      <c r="R291" s="43"/>
      <c r="S291" s="43"/>
      <c r="T291" s="43"/>
      <c r="U291" s="43"/>
      <c r="V291" s="43"/>
      <c r="W291" s="43"/>
      <c r="X291" s="43"/>
      <c r="Y291" s="43"/>
      <c r="Z291" s="43"/>
      <c r="AA291" s="43"/>
      <c r="AB291" s="43"/>
      <c r="AC291" s="43"/>
      <c r="AD291" s="43"/>
      <c r="AE291" s="43"/>
      <c r="AF291" s="43"/>
      <c r="AG291" s="43"/>
      <c r="AH291" s="43"/>
      <c r="AI291" s="43"/>
      <c r="AJ291" s="43"/>
      <c r="AK291" s="43"/>
      <c r="AL291" s="43"/>
      <c r="AM291" s="43"/>
      <c r="AN291" s="43"/>
      <c r="AO291" s="43"/>
      <c r="AP291" s="43"/>
      <c r="AQ291" s="43"/>
    </row>
    <row r="292" spans="1:43" ht="35.1" customHeight="1" thickBot="1">
      <c r="A292" s="17" t="s">
        <v>456</v>
      </c>
      <c r="B292" s="9">
        <v>2602</v>
      </c>
      <c r="C292" s="99"/>
      <c r="D292" s="107"/>
      <c r="E292" s="107"/>
      <c r="F292" s="108"/>
      <c r="G292" s="99"/>
      <c r="H292" s="99"/>
      <c r="I292" s="109"/>
      <c r="J292" s="99"/>
      <c r="K292" s="99"/>
      <c r="L292" s="20"/>
      <c r="M292" s="220"/>
      <c r="N292" s="20">
        <f>N293</f>
        <v>17.3</v>
      </c>
      <c r="O292" s="20">
        <f t="shared" ref="O292:AQ292" si="145">O293</f>
        <v>17.3</v>
      </c>
      <c r="P292" s="20">
        <f t="shared" si="145"/>
        <v>0</v>
      </c>
      <c r="Q292" s="20">
        <f t="shared" si="145"/>
        <v>0</v>
      </c>
      <c r="R292" s="20">
        <f t="shared" si="145"/>
        <v>0</v>
      </c>
      <c r="S292" s="20">
        <f t="shared" si="145"/>
        <v>0</v>
      </c>
      <c r="T292" s="20">
        <f t="shared" si="145"/>
        <v>0</v>
      </c>
      <c r="U292" s="20">
        <f t="shared" si="145"/>
        <v>0</v>
      </c>
      <c r="V292" s="20">
        <f t="shared" si="145"/>
        <v>17.3</v>
      </c>
      <c r="W292" s="20">
        <f t="shared" si="145"/>
        <v>17.3</v>
      </c>
      <c r="X292" s="20">
        <f t="shared" si="145"/>
        <v>0</v>
      </c>
      <c r="Y292" s="20">
        <f t="shared" si="145"/>
        <v>0</v>
      </c>
      <c r="Z292" s="20">
        <f t="shared" si="145"/>
        <v>0</v>
      </c>
      <c r="AA292" s="20">
        <f t="shared" si="145"/>
        <v>0</v>
      </c>
      <c r="AB292" s="20">
        <f t="shared" si="145"/>
        <v>0</v>
      </c>
      <c r="AC292" s="20">
        <f t="shared" si="145"/>
        <v>0</v>
      </c>
      <c r="AD292" s="20">
        <f t="shared" si="145"/>
        <v>0</v>
      </c>
      <c r="AE292" s="20">
        <f t="shared" si="145"/>
        <v>0</v>
      </c>
      <c r="AF292" s="20">
        <f t="shared" si="145"/>
        <v>0</v>
      </c>
      <c r="AG292" s="20">
        <f t="shared" si="145"/>
        <v>0</v>
      </c>
      <c r="AH292" s="20">
        <f t="shared" si="145"/>
        <v>0</v>
      </c>
      <c r="AI292" s="20">
        <f t="shared" si="145"/>
        <v>0</v>
      </c>
      <c r="AJ292" s="20">
        <f t="shared" si="145"/>
        <v>0</v>
      </c>
      <c r="AK292" s="20">
        <f t="shared" si="145"/>
        <v>0</v>
      </c>
      <c r="AL292" s="20">
        <f t="shared" si="145"/>
        <v>0</v>
      </c>
      <c r="AM292" s="20">
        <f t="shared" si="145"/>
        <v>0</v>
      </c>
      <c r="AN292" s="20">
        <f t="shared" si="145"/>
        <v>0</v>
      </c>
      <c r="AO292" s="20">
        <f t="shared" si="145"/>
        <v>0</v>
      </c>
      <c r="AP292" s="20">
        <f t="shared" si="145"/>
        <v>0</v>
      </c>
      <c r="AQ292" s="20">
        <f t="shared" si="145"/>
        <v>0</v>
      </c>
    </row>
    <row r="293" spans="1:43" ht="35.1" customHeight="1" thickBot="1">
      <c r="A293" s="14"/>
      <c r="B293" s="110"/>
      <c r="C293" s="23" t="s">
        <v>103</v>
      </c>
      <c r="D293" s="23" t="s">
        <v>457</v>
      </c>
      <c r="E293" s="23" t="s">
        <v>143</v>
      </c>
      <c r="F293" s="228"/>
      <c r="G293" s="95"/>
      <c r="H293" s="95"/>
      <c r="I293" s="45" t="s">
        <v>715</v>
      </c>
      <c r="J293" s="45" t="s">
        <v>817</v>
      </c>
      <c r="K293" s="179" t="s">
        <v>717</v>
      </c>
      <c r="L293" s="43">
        <v>13</v>
      </c>
      <c r="M293" s="220" t="s">
        <v>458</v>
      </c>
      <c r="N293" s="43">
        <f>V293</f>
        <v>17.3</v>
      </c>
      <c r="O293" s="43">
        <f>Q293+S293+U293+W293</f>
        <v>17.3</v>
      </c>
      <c r="P293" s="43"/>
      <c r="Q293" s="43"/>
      <c r="R293" s="43"/>
      <c r="S293" s="43"/>
      <c r="T293" s="43"/>
      <c r="U293" s="43"/>
      <c r="V293" s="43">
        <v>17.3</v>
      </c>
      <c r="W293" s="43">
        <v>17.3</v>
      </c>
      <c r="X293" s="43">
        <f>AB293</f>
        <v>0</v>
      </c>
      <c r="Y293" s="43"/>
      <c r="Z293" s="43"/>
      <c r="AA293" s="43"/>
      <c r="AB293" s="43">
        <v>0</v>
      </c>
      <c r="AC293" s="43"/>
      <c r="AD293" s="43"/>
      <c r="AE293" s="43"/>
      <c r="AF293" s="43"/>
      <c r="AG293" s="43"/>
      <c r="AH293" s="43"/>
      <c r="AI293" s="43"/>
      <c r="AJ293" s="43"/>
      <c r="AK293" s="43"/>
      <c r="AL293" s="43"/>
      <c r="AM293" s="43"/>
      <c r="AN293" s="43"/>
      <c r="AO293" s="43"/>
      <c r="AP293" s="43"/>
      <c r="AQ293" s="43"/>
    </row>
    <row r="294" spans="1:43" ht="35.1" customHeight="1" thickBot="1">
      <c r="A294" s="17" t="s">
        <v>459</v>
      </c>
      <c r="B294" s="64">
        <v>2608</v>
      </c>
      <c r="C294" s="23"/>
      <c r="D294" s="23"/>
      <c r="E294" s="23"/>
      <c r="F294" s="20"/>
      <c r="G294" s="49"/>
      <c r="H294" s="49"/>
      <c r="I294" s="106"/>
      <c r="J294" s="95"/>
      <c r="K294" s="95"/>
      <c r="L294" s="49">
        <v>1</v>
      </c>
      <c r="M294" s="20"/>
      <c r="N294" s="20">
        <f>N295+N296+N297+N298+N299+N300+N301+N302+N304+N303</f>
        <v>51314.2</v>
      </c>
      <c r="O294" s="20">
        <f t="shared" ref="O294:AQ294" si="146">O295+O296+O297+O298+O299+O300+O301+O302+O304+O303</f>
        <v>51032.800000000003</v>
      </c>
      <c r="P294" s="20">
        <f t="shared" si="146"/>
        <v>0</v>
      </c>
      <c r="Q294" s="20">
        <f t="shared" si="146"/>
        <v>0</v>
      </c>
      <c r="R294" s="20">
        <f t="shared" si="146"/>
        <v>0</v>
      </c>
      <c r="S294" s="20">
        <f t="shared" si="146"/>
        <v>0</v>
      </c>
      <c r="T294" s="20">
        <f t="shared" si="146"/>
        <v>0</v>
      </c>
      <c r="U294" s="20">
        <f t="shared" si="146"/>
        <v>0</v>
      </c>
      <c r="V294" s="20">
        <f t="shared" si="146"/>
        <v>51314.2</v>
      </c>
      <c r="W294" s="20">
        <f t="shared" si="146"/>
        <v>51032.800000000003</v>
      </c>
      <c r="X294" s="20">
        <f t="shared" si="146"/>
        <v>50078.2</v>
      </c>
      <c r="Y294" s="20">
        <f t="shared" si="146"/>
        <v>0</v>
      </c>
      <c r="Z294" s="20">
        <f t="shared" si="146"/>
        <v>0</v>
      </c>
      <c r="AA294" s="20">
        <f t="shared" si="146"/>
        <v>0</v>
      </c>
      <c r="AB294" s="20">
        <f t="shared" si="146"/>
        <v>50078.2</v>
      </c>
      <c r="AC294" s="20">
        <f t="shared" si="146"/>
        <v>49949.8</v>
      </c>
      <c r="AD294" s="20">
        <f t="shared" si="146"/>
        <v>0</v>
      </c>
      <c r="AE294" s="20">
        <f t="shared" si="146"/>
        <v>0</v>
      </c>
      <c r="AF294" s="20">
        <f t="shared" si="146"/>
        <v>0</v>
      </c>
      <c r="AG294" s="20">
        <f t="shared" si="146"/>
        <v>49949.8</v>
      </c>
      <c r="AH294" s="20">
        <f t="shared" si="146"/>
        <v>49949.8</v>
      </c>
      <c r="AI294" s="20">
        <f t="shared" si="146"/>
        <v>0</v>
      </c>
      <c r="AJ294" s="20">
        <f t="shared" si="146"/>
        <v>0</v>
      </c>
      <c r="AK294" s="20">
        <f t="shared" si="146"/>
        <v>0</v>
      </c>
      <c r="AL294" s="20">
        <f t="shared" si="146"/>
        <v>49949.8</v>
      </c>
      <c r="AM294" s="20">
        <f t="shared" si="146"/>
        <v>49949.8</v>
      </c>
      <c r="AN294" s="20">
        <f t="shared" si="146"/>
        <v>0</v>
      </c>
      <c r="AO294" s="20">
        <f t="shared" si="146"/>
        <v>0</v>
      </c>
      <c r="AP294" s="20">
        <f t="shared" si="146"/>
        <v>0</v>
      </c>
      <c r="AQ294" s="20">
        <f t="shared" si="146"/>
        <v>49949.8</v>
      </c>
    </row>
    <row r="295" spans="1:43" ht="35.1" customHeight="1">
      <c r="A295" s="40"/>
      <c r="B295" s="61"/>
      <c r="C295" s="211" t="s">
        <v>31</v>
      </c>
      <c r="D295" s="201" t="s">
        <v>85</v>
      </c>
      <c r="E295" s="211" t="s">
        <v>86</v>
      </c>
      <c r="F295" s="324" t="s">
        <v>387</v>
      </c>
      <c r="G295" s="326" t="s">
        <v>460</v>
      </c>
      <c r="H295" s="309" t="s">
        <v>36</v>
      </c>
      <c r="I295" s="71" t="s">
        <v>721</v>
      </c>
      <c r="J295" s="45" t="s">
        <v>816</v>
      </c>
      <c r="K295" s="179" t="s">
        <v>717</v>
      </c>
      <c r="L295" s="13"/>
      <c r="M295" s="24" t="s">
        <v>461</v>
      </c>
      <c r="N295" s="13">
        <f t="shared" ref="N295:O304" si="147">P295+R295+T295+V295</f>
        <v>6949.3</v>
      </c>
      <c r="O295" s="13">
        <f t="shared" si="147"/>
        <v>6944.7</v>
      </c>
      <c r="P295" s="13"/>
      <c r="Q295" s="13"/>
      <c r="R295" s="13"/>
      <c r="S295" s="13"/>
      <c r="T295" s="13"/>
      <c r="U295" s="13"/>
      <c r="V295" s="13">
        <v>6949.3</v>
      </c>
      <c r="W295" s="13">
        <v>6944.7</v>
      </c>
      <c r="X295" s="13">
        <f t="shared" ref="X295:X304" si="148">Y295+Z295+AA295+AB295</f>
        <v>6949.3</v>
      </c>
      <c r="Y295" s="13"/>
      <c r="Z295" s="13"/>
      <c r="AA295" s="13"/>
      <c r="AB295" s="13">
        <v>6949.3</v>
      </c>
      <c r="AC295" s="13">
        <f t="shared" ref="AC295:AC301" si="149">AD295+AE295+AF295+AG295</f>
        <v>6949.3</v>
      </c>
      <c r="AD295" s="13"/>
      <c r="AE295" s="13"/>
      <c r="AF295" s="13"/>
      <c r="AG295" s="13">
        <v>6949.3</v>
      </c>
      <c r="AH295" s="13">
        <f t="shared" ref="AH295:AH304" si="150">AI295+AJ295+AK295+AL295</f>
        <v>6949.3</v>
      </c>
      <c r="AI295" s="13"/>
      <c r="AJ295" s="13"/>
      <c r="AK295" s="13"/>
      <c r="AL295" s="13">
        <v>6949.3</v>
      </c>
      <c r="AM295" s="13">
        <f t="shared" ref="AM295:AM301" si="151">AN295+AO295+AP295+AQ295</f>
        <v>6949.3</v>
      </c>
      <c r="AN295" s="13"/>
      <c r="AO295" s="13"/>
      <c r="AP295" s="13"/>
      <c r="AQ295" s="13">
        <v>6949.3</v>
      </c>
    </row>
    <row r="296" spans="1:43" ht="35.1" customHeight="1">
      <c r="A296" s="40"/>
      <c r="B296" s="61"/>
      <c r="C296" s="212"/>
      <c r="D296" s="202"/>
      <c r="E296" s="212"/>
      <c r="F296" s="325"/>
      <c r="G296" s="325"/>
      <c r="H296" s="325"/>
      <c r="I296" s="327" t="s">
        <v>882</v>
      </c>
      <c r="J296" s="327" t="s">
        <v>97</v>
      </c>
      <c r="K296" s="328" t="s">
        <v>883</v>
      </c>
      <c r="L296" s="13"/>
      <c r="M296" s="24" t="s">
        <v>462</v>
      </c>
      <c r="N296" s="13">
        <f t="shared" si="147"/>
        <v>97.7</v>
      </c>
      <c r="O296" s="13">
        <f t="shared" si="147"/>
        <v>80.7</v>
      </c>
      <c r="P296" s="13"/>
      <c r="Q296" s="13"/>
      <c r="R296" s="13"/>
      <c r="S296" s="13"/>
      <c r="T296" s="13"/>
      <c r="U296" s="13"/>
      <c r="V296" s="13">
        <v>97.7</v>
      </c>
      <c r="W296" s="13">
        <v>80.7</v>
      </c>
      <c r="X296" s="13">
        <f t="shared" si="148"/>
        <v>228.4</v>
      </c>
      <c r="Y296" s="13"/>
      <c r="Z296" s="13"/>
      <c r="AA296" s="13"/>
      <c r="AB296" s="13">
        <v>228.4</v>
      </c>
      <c r="AC296" s="13">
        <f t="shared" si="149"/>
        <v>100</v>
      </c>
      <c r="AD296" s="13"/>
      <c r="AE296" s="13"/>
      <c r="AF296" s="13"/>
      <c r="AG296" s="13">
        <v>100</v>
      </c>
      <c r="AH296" s="13">
        <f t="shared" si="150"/>
        <v>100</v>
      </c>
      <c r="AI296" s="13"/>
      <c r="AJ296" s="13"/>
      <c r="AK296" s="13"/>
      <c r="AL296" s="13">
        <v>100</v>
      </c>
      <c r="AM296" s="13">
        <f t="shared" si="151"/>
        <v>100</v>
      </c>
      <c r="AN296" s="13"/>
      <c r="AO296" s="13"/>
      <c r="AP296" s="13"/>
      <c r="AQ296" s="13">
        <v>100</v>
      </c>
    </row>
    <row r="297" spans="1:43" ht="35.1" customHeight="1">
      <c r="A297" s="40"/>
      <c r="B297" s="61"/>
      <c r="C297" s="212"/>
      <c r="D297" s="202"/>
      <c r="E297" s="212"/>
      <c r="F297" s="325"/>
      <c r="G297" s="325"/>
      <c r="H297" s="325"/>
      <c r="I297" s="327"/>
      <c r="J297" s="327"/>
      <c r="K297" s="328"/>
      <c r="L297" s="13"/>
      <c r="M297" s="24" t="s">
        <v>463</v>
      </c>
      <c r="N297" s="13">
        <f t="shared" si="147"/>
        <v>32280.9</v>
      </c>
      <c r="O297" s="13">
        <f t="shared" si="147"/>
        <v>32271.5</v>
      </c>
      <c r="P297" s="13"/>
      <c r="Q297" s="13"/>
      <c r="R297" s="13"/>
      <c r="S297" s="13"/>
      <c r="T297" s="13"/>
      <c r="U297" s="13"/>
      <c r="V297" s="13">
        <f>29295.2+1679.9+316.6+993.3-4.1</f>
        <v>32280.9</v>
      </c>
      <c r="W297" s="13">
        <v>32271.5</v>
      </c>
      <c r="X297" s="13">
        <f t="shared" si="148"/>
        <v>33491.300000000003</v>
      </c>
      <c r="Y297" s="13"/>
      <c r="Z297" s="13"/>
      <c r="AA297" s="13"/>
      <c r="AB297" s="13">
        <v>33491.300000000003</v>
      </c>
      <c r="AC297" s="13">
        <f t="shared" si="149"/>
        <v>33491.300000000003</v>
      </c>
      <c r="AD297" s="13"/>
      <c r="AE297" s="13"/>
      <c r="AF297" s="13"/>
      <c r="AG297" s="13">
        <v>33491.300000000003</v>
      </c>
      <c r="AH297" s="13">
        <f t="shared" si="150"/>
        <v>33491.300000000003</v>
      </c>
      <c r="AI297" s="13"/>
      <c r="AJ297" s="13"/>
      <c r="AK297" s="13"/>
      <c r="AL297" s="13">
        <v>33491.300000000003</v>
      </c>
      <c r="AM297" s="13">
        <f t="shared" si="151"/>
        <v>33491.300000000003</v>
      </c>
      <c r="AN297" s="13"/>
      <c r="AO297" s="13"/>
      <c r="AP297" s="13"/>
      <c r="AQ297" s="13">
        <v>33491.300000000003</v>
      </c>
    </row>
    <row r="298" spans="1:43" ht="35.1" customHeight="1">
      <c r="A298" s="111"/>
      <c r="B298" s="41"/>
      <c r="C298" s="212"/>
      <c r="D298" s="202"/>
      <c r="E298" s="212"/>
      <c r="F298" s="325"/>
      <c r="G298" s="325"/>
      <c r="H298" s="325"/>
      <c r="I298" s="271"/>
      <c r="J298" s="13"/>
      <c r="K298" s="13"/>
      <c r="L298" s="13"/>
      <c r="M298" s="24" t="s">
        <v>464</v>
      </c>
      <c r="N298" s="13">
        <f t="shared" si="147"/>
        <v>3921.7</v>
      </c>
      <c r="O298" s="13">
        <f t="shared" si="147"/>
        <v>3855.7</v>
      </c>
      <c r="P298" s="13"/>
      <c r="Q298" s="13"/>
      <c r="R298" s="13"/>
      <c r="S298" s="13"/>
      <c r="T298" s="13"/>
      <c r="U298" s="13"/>
      <c r="V298" s="13">
        <f>1496.1+2150+275.6</f>
        <v>3921.7</v>
      </c>
      <c r="W298" s="13">
        <v>3855.7</v>
      </c>
      <c r="X298" s="13">
        <f t="shared" si="148"/>
        <v>1550</v>
      </c>
      <c r="Y298" s="13"/>
      <c r="Z298" s="13"/>
      <c r="AA298" s="13"/>
      <c r="AB298" s="13">
        <v>1550</v>
      </c>
      <c r="AC298" s="13">
        <f t="shared" si="149"/>
        <v>1550</v>
      </c>
      <c r="AD298" s="13"/>
      <c r="AE298" s="13"/>
      <c r="AF298" s="13"/>
      <c r="AG298" s="13">
        <v>1550</v>
      </c>
      <c r="AH298" s="13">
        <f t="shared" si="150"/>
        <v>1550</v>
      </c>
      <c r="AI298" s="13"/>
      <c r="AJ298" s="13"/>
      <c r="AK298" s="13"/>
      <c r="AL298" s="13">
        <v>1550</v>
      </c>
      <c r="AM298" s="13">
        <f t="shared" si="151"/>
        <v>1550</v>
      </c>
      <c r="AN298" s="13"/>
      <c r="AO298" s="13"/>
      <c r="AP298" s="13"/>
      <c r="AQ298" s="13">
        <v>1550</v>
      </c>
    </row>
    <row r="299" spans="1:43" ht="35.1" customHeight="1">
      <c r="A299" s="111"/>
      <c r="B299" s="41"/>
      <c r="C299" s="212"/>
      <c r="D299" s="202"/>
      <c r="E299" s="212"/>
      <c r="F299" s="325"/>
      <c r="G299" s="325"/>
      <c r="H299" s="325"/>
      <c r="I299" s="271"/>
      <c r="J299" s="13"/>
      <c r="K299" s="13"/>
      <c r="L299" s="13"/>
      <c r="M299" s="24" t="s">
        <v>465</v>
      </c>
      <c r="N299" s="13">
        <f t="shared" si="147"/>
        <v>0</v>
      </c>
      <c r="O299" s="13">
        <f t="shared" si="147"/>
        <v>0</v>
      </c>
      <c r="P299" s="13"/>
      <c r="Q299" s="13"/>
      <c r="R299" s="13"/>
      <c r="S299" s="13"/>
      <c r="T299" s="13"/>
      <c r="U299" s="13"/>
      <c r="V299" s="13"/>
      <c r="W299" s="13"/>
      <c r="X299" s="13">
        <f t="shared" si="148"/>
        <v>40</v>
      </c>
      <c r="Y299" s="13"/>
      <c r="Z299" s="13"/>
      <c r="AA299" s="13"/>
      <c r="AB299" s="13">
        <v>40</v>
      </c>
      <c r="AC299" s="13">
        <f t="shared" si="149"/>
        <v>40</v>
      </c>
      <c r="AD299" s="13"/>
      <c r="AE299" s="13"/>
      <c r="AF299" s="13"/>
      <c r="AG299" s="13">
        <v>40</v>
      </c>
      <c r="AH299" s="13">
        <f t="shared" si="150"/>
        <v>40</v>
      </c>
      <c r="AI299" s="13"/>
      <c r="AJ299" s="13"/>
      <c r="AK299" s="13"/>
      <c r="AL299" s="13">
        <v>40</v>
      </c>
      <c r="AM299" s="13">
        <f t="shared" si="151"/>
        <v>40</v>
      </c>
      <c r="AN299" s="13"/>
      <c r="AO299" s="13"/>
      <c r="AP299" s="13"/>
      <c r="AQ299" s="13">
        <v>40</v>
      </c>
    </row>
    <row r="300" spans="1:43" ht="35.1" customHeight="1">
      <c r="A300" s="40"/>
      <c r="B300" s="41"/>
      <c r="C300" s="212"/>
      <c r="D300" s="202"/>
      <c r="E300" s="212"/>
      <c r="F300" s="325"/>
      <c r="G300" s="325"/>
      <c r="H300" s="325"/>
      <c r="I300" s="271"/>
      <c r="J300" s="13"/>
      <c r="K300" s="13"/>
      <c r="L300" s="13"/>
      <c r="M300" s="24" t="s">
        <v>466</v>
      </c>
      <c r="N300" s="13">
        <f t="shared" si="147"/>
        <v>540.6</v>
      </c>
      <c r="O300" s="13">
        <f t="shared" si="147"/>
        <v>536.1</v>
      </c>
      <c r="P300" s="13"/>
      <c r="Q300" s="13"/>
      <c r="R300" s="13"/>
      <c r="S300" s="13"/>
      <c r="T300" s="13"/>
      <c r="U300" s="13"/>
      <c r="V300" s="13">
        <f>230+100+100+35.6+75</f>
        <v>540.6</v>
      </c>
      <c r="W300" s="13">
        <v>536.1</v>
      </c>
      <c r="X300" s="13">
        <f t="shared" si="148"/>
        <v>280</v>
      </c>
      <c r="Y300" s="13"/>
      <c r="Z300" s="13"/>
      <c r="AA300" s="13"/>
      <c r="AB300" s="13">
        <v>280</v>
      </c>
      <c r="AC300" s="13">
        <f t="shared" si="149"/>
        <v>280</v>
      </c>
      <c r="AD300" s="13"/>
      <c r="AE300" s="13"/>
      <c r="AF300" s="13"/>
      <c r="AG300" s="13">
        <v>280</v>
      </c>
      <c r="AH300" s="13">
        <f t="shared" si="150"/>
        <v>280</v>
      </c>
      <c r="AI300" s="13"/>
      <c r="AJ300" s="13"/>
      <c r="AK300" s="13"/>
      <c r="AL300" s="13">
        <v>280</v>
      </c>
      <c r="AM300" s="13">
        <f t="shared" si="151"/>
        <v>280</v>
      </c>
      <c r="AN300" s="13"/>
      <c r="AO300" s="13"/>
      <c r="AP300" s="13"/>
      <c r="AQ300" s="13">
        <v>280</v>
      </c>
    </row>
    <row r="301" spans="1:43" ht="35.1" customHeight="1">
      <c r="A301" s="40"/>
      <c r="B301" s="25"/>
      <c r="C301" s="212"/>
      <c r="D301" s="202"/>
      <c r="E301" s="212"/>
      <c r="F301" s="325"/>
      <c r="G301" s="325"/>
      <c r="H301" s="325"/>
      <c r="I301" s="52" t="s">
        <v>884</v>
      </c>
      <c r="J301" s="52" t="s">
        <v>97</v>
      </c>
      <c r="K301" s="177" t="s">
        <v>883</v>
      </c>
      <c r="L301" s="13"/>
      <c r="M301" s="24" t="s">
        <v>467</v>
      </c>
      <c r="N301" s="13">
        <f t="shared" si="147"/>
        <v>10</v>
      </c>
      <c r="O301" s="13">
        <f t="shared" si="147"/>
        <v>10</v>
      </c>
      <c r="P301" s="13"/>
      <c r="Q301" s="13"/>
      <c r="R301" s="13"/>
      <c r="S301" s="13"/>
      <c r="T301" s="13"/>
      <c r="U301" s="13"/>
      <c r="V301" s="13">
        <v>10</v>
      </c>
      <c r="W301" s="13">
        <v>10</v>
      </c>
      <c r="X301" s="13">
        <f t="shared" si="148"/>
        <v>100</v>
      </c>
      <c r="Y301" s="13"/>
      <c r="Z301" s="13"/>
      <c r="AA301" s="13"/>
      <c r="AB301" s="13">
        <v>100</v>
      </c>
      <c r="AC301" s="13">
        <f t="shared" si="149"/>
        <v>100</v>
      </c>
      <c r="AD301" s="13"/>
      <c r="AE301" s="13"/>
      <c r="AF301" s="13"/>
      <c r="AG301" s="13">
        <v>100</v>
      </c>
      <c r="AH301" s="13">
        <f t="shared" si="150"/>
        <v>100</v>
      </c>
      <c r="AI301" s="13"/>
      <c r="AJ301" s="13"/>
      <c r="AK301" s="13"/>
      <c r="AL301" s="13">
        <v>100</v>
      </c>
      <c r="AM301" s="13">
        <f t="shared" si="151"/>
        <v>100</v>
      </c>
      <c r="AN301" s="13"/>
      <c r="AO301" s="13"/>
      <c r="AP301" s="13"/>
      <c r="AQ301" s="13">
        <v>100</v>
      </c>
    </row>
    <row r="302" spans="1:43" ht="35.1" customHeight="1">
      <c r="A302" s="57"/>
      <c r="B302" s="41"/>
      <c r="C302" s="276"/>
      <c r="D302" s="277"/>
      <c r="E302" s="277"/>
      <c r="F302" s="12"/>
      <c r="G302" s="12"/>
      <c r="H302" s="12"/>
      <c r="I302" s="220" t="s">
        <v>859</v>
      </c>
      <c r="J302" s="220" t="s">
        <v>97</v>
      </c>
      <c r="K302" s="184" t="s">
        <v>815</v>
      </c>
      <c r="L302" s="13"/>
      <c r="M302" s="24" t="s">
        <v>468</v>
      </c>
      <c r="N302" s="13">
        <f>P302+R302+T302+V302</f>
        <v>7194</v>
      </c>
      <c r="O302" s="13">
        <f t="shared" si="147"/>
        <v>7014.9</v>
      </c>
      <c r="P302" s="13"/>
      <c r="Q302" s="13"/>
      <c r="R302" s="13"/>
      <c r="S302" s="13"/>
      <c r="T302" s="13"/>
      <c r="U302" s="13"/>
      <c r="V302" s="13">
        <f>6259+300+515.1+119.9</f>
        <v>7194</v>
      </c>
      <c r="W302" s="13">
        <v>7014.9</v>
      </c>
      <c r="X302" s="13">
        <f t="shared" si="148"/>
        <v>7069.2</v>
      </c>
      <c r="Y302" s="13"/>
      <c r="Z302" s="13"/>
      <c r="AA302" s="13"/>
      <c r="AB302" s="13">
        <v>7069.2</v>
      </c>
      <c r="AC302" s="13">
        <f>AD302+AE302+AF302+AG302</f>
        <v>7069.2</v>
      </c>
      <c r="AD302" s="13"/>
      <c r="AE302" s="13"/>
      <c r="AF302" s="13"/>
      <c r="AG302" s="13">
        <v>7069.2</v>
      </c>
      <c r="AH302" s="13">
        <f t="shared" si="150"/>
        <v>7069.2</v>
      </c>
      <c r="AI302" s="13"/>
      <c r="AJ302" s="13"/>
      <c r="AK302" s="13"/>
      <c r="AL302" s="13">
        <v>7069.2</v>
      </c>
      <c r="AM302" s="13">
        <f>AN302+AO302+AP302+AQ302</f>
        <v>7069.2</v>
      </c>
      <c r="AN302" s="13"/>
      <c r="AO302" s="13"/>
      <c r="AP302" s="13"/>
      <c r="AQ302" s="13">
        <v>7069.2</v>
      </c>
    </row>
    <row r="303" spans="1:43" ht="35.1" customHeight="1">
      <c r="A303" s="57"/>
      <c r="B303" s="41"/>
      <c r="C303" s="276"/>
      <c r="D303" s="277"/>
      <c r="E303" s="277"/>
      <c r="F303" s="12"/>
      <c r="G303" s="12"/>
      <c r="H303" s="12"/>
      <c r="I303" s="220" t="s">
        <v>858</v>
      </c>
      <c r="J303" s="220" t="s">
        <v>97</v>
      </c>
      <c r="K303" s="184" t="s">
        <v>814</v>
      </c>
      <c r="L303" s="13"/>
      <c r="M303" s="24" t="s">
        <v>469</v>
      </c>
      <c r="N303" s="13">
        <f>P303+R303+T303+V303</f>
        <v>0.3</v>
      </c>
      <c r="O303" s="13">
        <f t="shared" si="147"/>
        <v>0.3</v>
      </c>
      <c r="P303" s="13"/>
      <c r="Q303" s="13"/>
      <c r="R303" s="13"/>
      <c r="S303" s="13"/>
      <c r="T303" s="13"/>
      <c r="U303" s="13"/>
      <c r="V303" s="13">
        <v>0.3</v>
      </c>
      <c r="W303" s="13">
        <v>0.3</v>
      </c>
      <c r="X303" s="13">
        <f t="shared" si="148"/>
        <v>0</v>
      </c>
      <c r="Y303" s="13"/>
      <c r="Z303" s="13"/>
      <c r="AA303" s="13"/>
      <c r="AB303" s="13">
        <v>0</v>
      </c>
      <c r="AC303" s="13">
        <v>0</v>
      </c>
      <c r="AD303" s="13"/>
      <c r="AE303" s="13"/>
      <c r="AF303" s="13"/>
      <c r="AG303" s="13">
        <v>0</v>
      </c>
      <c r="AH303" s="13">
        <v>0</v>
      </c>
      <c r="AI303" s="13"/>
      <c r="AJ303" s="13"/>
      <c r="AK303" s="13"/>
      <c r="AL303" s="13">
        <v>0</v>
      </c>
      <c r="AM303" s="13">
        <v>0</v>
      </c>
      <c r="AN303" s="13"/>
      <c r="AO303" s="13"/>
      <c r="AP303" s="13"/>
      <c r="AQ303" s="13">
        <v>0</v>
      </c>
    </row>
    <row r="304" spans="1:43" ht="35.1" customHeight="1">
      <c r="A304" s="57"/>
      <c r="B304" s="41"/>
      <c r="C304" s="276"/>
      <c r="D304" s="277"/>
      <c r="E304" s="277"/>
      <c r="F304" s="12"/>
      <c r="G304" s="12"/>
      <c r="H304" s="12"/>
      <c r="I304" s="220"/>
      <c r="J304" s="220"/>
      <c r="K304" s="184"/>
      <c r="L304" s="13"/>
      <c r="M304" s="24" t="s">
        <v>470</v>
      </c>
      <c r="N304" s="13">
        <f>P304+R304+T304+V304</f>
        <v>319.7</v>
      </c>
      <c r="O304" s="13">
        <f t="shared" si="147"/>
        <v>318.89999999999998</v>
      </c>
      <c r="P304" s="13"/>
      <c r="Q304" s="13"/>
      <c r="R304" s="13"/>
      <c r="S304" s="13"/>
      <c r="T304" s="13"/>
      <c r="U304" s="13"/>
      <c r="V304" s="13">
        <f>320-0.3</f>
        <v>319.7</v>
      </c>
      <c r="W304" s="13">
        <v>318.89999999999998</v>
      </c>
      <c r="X304" s="13">
        <f t="shared" si="148"/>
        <v>370</v>
      </c>
      <c r="Y304" s="13"/>
      <c r="Z304" s="13"/>
      <c r="AA304" s="13"/>
      <c r="AB304" s="13">
        <v>370</v>
      </c>
      <c r="AC304" s="13">
        <f>AD304+AE304+AF304+AG304</f>
        <v>370</v>
      </c>
      <c r="AD304" s="13"/>
      <c r="AE304" s="13"/>
      <c r="AF304" s="13"/>
      <c r="AG304" s="13">
        <v>370</v>
      </c>
      <c r="AH304" s="13">
        <f t="shared" si="150"/>
        <v>370</v>
      </c>
      <c r="AI304" s="13"/>
      <c r="AJ304" s="13"/>
      <c r="AK304" s="13"/>
      <c r="AL304" s="13">
        <v>370</v>
      </c>
      <c r="AM304" s="13">
        <f>AN304+AO304+AP304+AQ304</f>
        <v>370</v>
      </c>
      <c r="AN304" s="13"/>
      <c r="AO304" s="13"/>
      <c r="AP304" s="13"/>
      <c r="AQ304" s="13">
        <v>370</v>
      </c>
    </row>
    <row r="305" spans="1:43" ht="35.1" customHeight="1">
      <c r="A305" s="59" t="s">
        <v>471</v>
      </c>
      <c r="B305" s="44">
        <v>2613</v>
      </c>
      <c r="C305" s="198"/>
      <c r="D305" s="239"/>
      <c r="E305" s="239"/>
      <c r="F305" s="20"/>
      <c r="G305" s="20"/>
      <c r="H305" s="20"/>
      <c r="I305" s="12"/>
      <c r="J305" s="12"/>
      <c r="K305" s="12"/>
      <c r="L305" s="20">
        <v>23</v>
      </c>
      <c r="M305" s="24"/>
      <c r="N305" s="20">
        <f>N306+N307</f>
        <v>3370.8</v>
      </c>
      <c r="O305" s="20">
        <f t="shared" ref="O305:AQ305" si="152">O306+O307</f>
        <v>3370.8</v>
      </c>
      <c r="P305" s="20">
        <f t="shared" si="152"/>
        <v>0</v>
      </c>
      <c r="Q305" s="20">
        <f t="shared" si="152"/>
        <v>0</v>
      </c>
      <c r="R305" s="20">
        <f t="shared" si="152"/>
        <v>0</v>
      </c>
      <c r="S305" s="20">
        <f t="shared" si="152"/>
        <v>0</v>
      </c>
      <c r="T305" s="20">
        <f t="shared" si="152"/>
        <v>0</v>
      </c>
      <c r="U305" s="20">
        <f t="shared" si="152"/>
        <v>0</v>
      </c>
      <c r="V305" s="20">
        <f t="shared" si="152"/>
        <v>3370.8</v>
      </c>
      <c r="W305" s="20">
        <f t="shared" si="152"/>
        <v>3370.8</v>
      </c>
      <c r="X305" s="20">
        <f t="shared" si="152"/>
        <v>0</v>
      </c>
      <c r="Y305" s="20">
        <f t="shared" si="152"/>
        <v>0</v>
      </c>
      <c r="Z305" s="20">
        <f t="shared" si="152"/>
        <v>0</v>
      </c>
      <c r="AA305" s="20">
        <f t="shared" si="152"/>
        <v>0</v>
      </c>
      <c r="AB305" s="20">
        <f t="shared" si="152"/>
        <v>0</v>
      </c>
      <c r="AC305" s="20">
        <f t="shared" si="152"/>
        <v>0</v>
      </c>
      <c r="AD305" s="20">
        <f t="shared" si="152"/>
        <v>0</v>
      </c>
      <c r="AE305" s="20">
        <f t="shared" si="152"/>
        <v>0</v>
      </c>
      <c r="AF305" s="20">
        <f t="shared" si="152"/>
        <v>0</v>
      </c>
      <c r="AG305" s="20">
        <f t="shared" si="152"/>
        <v>0</v>
      </c>
      <c r="AH305" s="20">
        <f t="shared" si="152"/>
        <v>0</v>
      </c>
      <c r="AI305" s="20">
        <f t="shared" si="152"/>
        <v>0</v>
      </c>
      <c r="AJ305" s="20">
        <f t="shared" si="152"/>
        <v>0</v>
      </c>
      <c r="AK305" s="20">
        <f t="shared" si="152"/>
        <v>0</v>
      </c>
      <c r="AL305" s="20">
        <f t="shared" si="152"/>
        <v>0</v>
      </c>
      <c r="AM305" s="20">
        <f t="shared" si="152"/>
        <v>0</v>
      </c>
      <c r="AN305" s="20">
        <f t="shared" si="152"/>
        <v>0</v>
      </c>
      <c r="AO305" s="20">
        <f t="shared" si="152"/>
        <v>0</v>
      </c>
      <c r="AP305" s="20">
        <f t="shared" si="152"/>
        <v>0</v>
      </c>
      <c r="AQ305" s="20">
        <f t="shared" si="152"/>
        <v>0</v>
      </c>
    </row>
    <row r="306" spans="1:43" ht="35.1" customHeight="1">
      <c r="A306" s="40"/>
      <c r="B306" s="61"/>
      <c r="C306" s="23" t="s">
        <v>103</v>
      </c>
      <c r="D306" s="23" t="s">
        <v>472</v>
      </c>
      <c r="E306" s="23" t="s">
        <v>105</v>
      </c>
      <c r="F306" s="23" t="s">
        <v>473</v>
      </c>
      <c r="G306" s="23" t="s">
        <v>474</v>
      </c>
      <c r="H306" s="23" t="s">
        <v>475</v>
      </c>
      <c r="I306" s="71" t="s">
        <v>721</v>
      </c>
      <c r="J306" s="45" t="s">
        <v>813</v>
      </c>
      <c r="K306" s="179" t="s">
        <v>717</v>
      </c>
      <c r="L306" s="112"/>
      <c r="M306" s="24" t="s">
        <v>476</v>
      </c>
      <c r="N306" s="13">
        <f t="shared" ref="N306:N307" si="153">P306+R306+T306+V306</f>
        <v>3370.8</v>
      </c>
      <c r="O306" s="13">
        <f>Q306+S306+W306</f>
        <v>3370.8</v>
      </c>
      <c r="P306" s="13"/>
      <c r="Q306" s="13"/>
      <c r="R306" s="13"/>
      <c r="S306" s="13"/>
      <c r="T306" s="13"/>
      <c r="U306" s="13"/>
      <c r="V306" s="13">
        <v>3370.8</v>
      </c>
      <c r="W306" s="13">
        <v>3370.8</v>
      </c>
      <c r="X306" s="13">
        <f>Y306+Z306+AA306+AB306</f>
        <v>0</v>
      </c>
      <c r="Y306" s="13"/>
      <c r="Z306" s="13"/>
      <c r="AA306" s="13"/>
      <c r="AB306" s="13">
        <v>0</v>
      </c>
      <c r="AC306" s="13">
        <v>0</v>
      </c>
      <c r="AD306" s="13"/>
      <c r="AE306" s="13"/>
      <c r="AF306" s="13"/>
      <c r="AG306" s="13">
        <v>0</v>
      </c>
      <c r="AH306" s="13">
        <v>0</v>
      </c>
      <c r="AI306" s="13"/>
      <c r="AJ306" s="13"/>
      <c r="AK306" s="13"/>
      <c r="AL306" s="13">
        <v>0</v>
      </c>
      <c r="AM306" s="13">
        <v>0</v>
      </c>
      <c r="AN306" s="13"/>
      <c r="AO306" s="13"/>
      <c r="AP306" s="13"/>
      <c r="AQ306" s="13">
        <v>0</v>
      </c>
    </row>
    <row r="307" spans="1:43" ht="35.1" customHeight="1">
      <c r="A307" s="40"/>
      <c r="B307" s="61"/>
      <c r="C307" s="23" t="s">
        <v>477</v>
      </c>
      <c r="D307" s="23" t="s">
        <v>478</v>
      </c>
      <c r="E307" s="23" t="s">
        <v>479</v>
      </c>
      <c r="F307" s="13"/>
      <c r="G307" s="13"/>
      <c r="H307" s="13"/>
      <c r="I307" s="113"/>
      <c r="J307" s="43"/>
      <c r="K307" s="43"/>
      <c r="L307" s="13"/>
      <c r="M307" s="24" t="s">
        <v>480</v>
      </c>
      <c r="N307" s="13">
        <f t="shared" si="153"/>
        <v>0</v>
      </c>
      <c r="O307" s="13">
        <v>0</v>
      </c>
      <c r="P307" s="13"/>
      <c r="Q307" s="13"/>
      <c r="R307" s="13"/>
      <c r="S307" s="13"/>
      <c r="T307" s="13"/>
      <c r="U307" s="13"/>
      <c r="V307" s="13"/>
      <c r="W307" s="13"/>
      <c r="X307" s="13">
        <v>0</v>
      </c>
      <c r="Y307" s="13"/>
      <c r="Z307" s="13"/>
      <c r="AA307" s="13"/>
      <c r="AB307" s="13">
        <v>0</v>
      </c>
      <c r="AC307" s="13">
        <v>0</v>
      </c>
      <c r="AD307" s="13"/>
      <c r="AE307" s="13"/>
      <c r="AF307" s="13"/>
      <c r="AG307" s="13">
        <v>0</v>
      </c>
      <c r="AH307" s="13">
        <v>0</v>
      </c>
      <c r="AI307" s="13"/>
      <c r="AJ307" s="13"/>
      <c r="AK307" s="13"/>
      <c r="AL307" s="13">
        <v>0</v>
      </c>
      <c r="AM307" s="13">
        <v>0</v>
      </c>
      <c r="AN307" s="13"/>
      <c r="AO307" s="13"/>
      <c r="AP307" s="13"/>
      <c r="AQ307" s="13">
        <v>0</v>
      </c>
    </row>
    <row r="308" spans="1:43" ht="35.1" customHeight="1">
      <c r="A308" s="114" t="s">
        <v>481</v>
      </c>
      <c r="B308" s="115">
        <v>2623</v>
      </c>
      <c r="C308" s="19"/>
      <c r="D308" s="20"/>
      <c r="E308" s="20"/>
      <c r="F308" s="20"/>
      <c r="G308" s="20"/>
      <c r="H308" s="20"/>
      <c r="I308" s="116"/>
      <c r="J308" s="20"/>
      <c r="K308" s="20"/>
      <c r="L308" s="20">
        <v>23</v>
      </c>
      <c r="M308" s="24" t="s">
        <v>482</v>
      </c>
      <c r="N308" s="20">
        <f t="shared" ref="N308:AQ308" si="154">N309+N310</f>
        <v>2984.6</v>
      </c>
      <c r="O308" s="20">
        <f t="shared" si="154"/>
        <v>2941.6000000000004</v>
      </c>
      <c r="P308" s="20">
        <f t="shared" si="154"/>
        <v>0</v>
      </c>
      <c r="Q308" s="20">
        <f t="shared" si="154"/>
        <v>0</v>
      </c>
      <c r="R308" s="20">
        <f t="shared" si="154"/>
        <v>0</v>
      </c>
      <c r="S308" s="20">
        <f t="shared" si="154"/>
        <v>0</v>
      </c>
      <c r="T308" s="20">
        <f t="shared" si="154"/>
        <v>0</v>
      </c>
      <c r="U308" s="20">
        <f t="shared" si="154"/>
        <v>0</v>
      </c>
      <c r="V308" s="20">
        <f t="shared" si="154"/>
        <v>2984.6</v>
      </c>
      <c r="W308" s="20">
        <f t="shared" si="154"/>
        <v>2941.6000000000004</v>
      </c>
      <c r="X308" s="20">
        <f t="shared" si="154"/>
        <v>3143.9</v>
      </c>
      <c r="Y308" s="20">
        <f t="shared" si="154"/>
        <v>0</v>
      </c>
      <c r="Z308" s="20">
        <f t="shared" si="154"/>
        <v>0</v>
      </c>
      <c r="AA308" s="20">
        <f t="shared" si="154"/>
        <v>0</v>
      </c>
      <c r="AB308" s="20">
        <f t="shared" si="154"/>
        <v>3143.9</v>
      </c>
      <c r="AC308" s="20">
        <f>AC309+AC310</f>
        <v>3143.9</v>
      </c>
      <c r="AD308" s="20">
        <f t="shared" si="154"/>
        <v>0</v>
      </c>
      <c r="AE308" s="20">
        <f t="shared" si="154"/>
        <v>0</v>
      </c>
      <c r="AF308" s="20">
        <f t="shared" si="154"/>
        <v>0</v>
      </c>
      <c r="AG308" s="20">
        <f t="shared" si="154"/>
        <v>3143.9</v>
      </c>
      <c r="AH308" s="20">
        <f t="shared" si="154"/>
        <v>3143.9</v>
      </c>
      <c r="AI308" s="20">
        <f t="shared" si="154"/>
        <v>0</v>
      </c>
      <c r="AJ308" s="20">
        <f t="shared" si="154"/>
        <v>0</v>
      </c>
      <c r="AK308" s="20">
        <f t="shared" si="154"/>
        <v>0</v>
      </c>
      <c r="AL308" s="20">
        <f t="shared" si="154"/>
        <v>3143.9</v>
      </c>
      <c r="AM308" s="20">
        <f t="shared" si="154"/>
        <v>3143.9</v>
      </c>
      <c r="AN308" s="20">
        <f t="shared" si="154"/>
        <v>0</v>
      </c>
      <c r="AO308" s="20">
        <f t="shared" si="154"/>
        <v>0</v>
      </c>
      <c r="AP308" s="20">
        <f t="shared" si="154"/>
        <v>0</v>
      </c>
      <c r="AQ308" s="20">
        <f t="shared" si="154"/>
        <v>3143.9</v>
      </c>
    </row>
    <row r="309" spans="1:43" ht="35.1" customHeight="1">
      <c r="A309" s="117"/>
      <c r="B309" s="54"/>
      <c r="C309" s="243" t="s">
        <v>718</v>
      </c>
      <c r="D309" s="243" t="s">
        <v>722</v>
      </c>
      <c r="E309" s="243" t="s">
        <v>720</v>
      </c>
      <c r="F309" s="228" t="s">
        <v>483</v>
      </c>
      <c r="G309" s="228"/>
      <c r="H309" s="228" t="s">
        <v>484</v>
      </c>
      <c r="I309" s="24" t="s">
        <v>485</v>
      </c>
      <c r="J309" s="228" t="s">
        <v>147</v>
      </c>
      <c r="K309" s="24" t="s">
        <v>742</v>
      </c>
      <c r="L309" s="13">
        <v>23</v>
      </c>
      <c r="M309" s="24" t="s">
        <v>486</v>
      </c>
      <c r="N309" s="13">
        <f>P309+R309+T309+V309</f>
        <v>2954.6</v>
      </c>
      <c r="O309" s="13">
        <f>Q309+S309+U309+W309</f>
        <v>2913.8</v>
      </c>
      <c r="P309" s="13"/>
      <c r="Q309" s="13"/>
      <c r="R309" s="13"/>
      <c r="S309" s="13"/>
      <c r="T309" s="13"/>
      <c r="U309" s="13"/>
      <c r="V309" s="13">
        <f>2575.1+379.5</f>
        <v>2954.6</v>
      </c>
      <c r="W309" s="13">
        <v>2913.8</v>
      </c>
      <c r="X309" s="13">
        <f>Y309+Z309+AA309+AB309</f>
        <v>3113.9</v>
      </c>
      <c r="Y309" s="13"/>
      <c r="Z309" s="13"/>
      <c r="AA309" s="13"/>
      <c r="AB309" s="13">
        <v>3113.9</v>
      </c>
      <c r="AC309" s="13">
        <f>AD309+AE309+AF309+AG309</f>
        <v>3113.9</v>
      </c>
      <c r="AD309" s="13"/>
      <c r="AE309" s="13"/>
      <c r="AF309" s="13"/>
      <c r="AG309" s="13">
        <v>3113.9</v>
      </c>
      <c r="AH309" s="13">
        <f>AI309+AJ309+AK309+AL309</f>
        <v>3113.9</v>
      </c>
      <c r="AI309" s="13"/>
      <c r="AJ309" s="13"/>
      <c r="AK309" s="13"/>
      <c r="AL309" s="13">
        <v>3113.9</v>
      </c>
      <c r="AM309" s="13">
        <f>AN309+AO309+AP309+AQ309</f>
        <v>3113.9</v>
      </c>
      <c r="AN309" s="13"/>
      <c r="AO309" s="13"/>
      <c r="AP309" s="13"/>
      <c r="AQ309" s="13">
        <v>3113.9</v>
      </c>
    </row>
    <row r="310" spans="1:43" ht="35.1" customHeight="1">
      <c r="A310" s="117"/>
      <c r="B310" s="54"/>
      <c r="C310" s="228"/>
      <c r="D310" s="228"/>
      <c r="E310" s="228"/>
      <c r="F310" s="228"/>
      <c r="G310" s="228"/>
      <c r="H310" s="228"/>
      <c r="I310" s="24"/>
      <c r="J310" s="228"/>
      <c r="K310" s="13"/>
      <c r="L310" s="13"/>
      <c r="M310" s="24" t="s">
        <v>487</v>
      </c>
      <c r="N310" s="13">
        <f>P310+R310+T310+V310</f>
        <v>30</v>
      </c>
      <c r="O310" s="13">
        <f>Q310+S310+U310+W310</f>
        <v>27.8</v>
      </c>
      <c r="P310" s="13"/>
      <c r="Q310" s="13"/>
      <c r="R310" s="13"/>
      <c r="S310" s="13"/>
      <c r="T310" s="13"/>
      <c r="U310" s="13"/>
      <c r="V310" s="13">
        <f>25+5</f>
        <v>30</v>
      </c>
      <c r="W310" s="13">
        <v>27.8</v>
      </c>
      <c r="X310" s="13">
        <f>Y310+Z310+AA310+AB310</f>
        <v>30</v>
      </c>
      <c r="Y310" s="13"/>
      <c r="Z310" s="13"/>
      <c r="AA310" s="13"/>
      <c r="AB310" s="13">
        <f>25+5</f>
        <v>30</v>
      </c>
      <c r="AC310" s="13">
        <f>AD310+AE310+AF310+AG310</f>
        <v>30</v>
      </c>
      <c r="AD310" s="13"/>
      <c r="AE310" s="13"/>
      <c r="AF310" s="13"/>
      <c r="AG310" s="13">
        <v>30</v>
      </c>
      <c r="AH310" s="13">
        <f>AI310+AJ310+AK310+AL310</f>
        <v>30</v>
      </c>
      <c r="AI310" s="13"/>
      <c r="AJ310" s="13"/>
      <c r="AK310" s="13"/>
      <c r="AL310" s="13">
        <v>30</v>
      </c>
      <c r="AM310" s="13">
        <f>AN310+AO310+AP310+AQ310</f>
        <v>30</v>
      </c>
      <c r="AN310" s="13"/>
      <c r="AO310" s="13"/>
      <c r="AP310" s="13"/>
      <c r="AQ310" s="13">
        <v>30</v>
      </c>
    </row>
    <row r="311" spans="1:43" ht="35.1" customHeight="1">
      <c r="A311" s="118" t="s">
        <v>488</v>
      </c>
      <c r="B311" s="119">
        <v>2624</v>
      </c>
      <c r="C311" s="120"/>
      <c r="D311" s="120"/>
      <c r="E311" s="120"/>
      <c r="F311" s="120"/>
      <c r="G311" s="120"/>
      <c r="H311" s="120"/>
      <c r="I311" s="121"/>
      <c r="J311" s="120"/>
      <c r="K311" s="20"/>
      <c r="L311" s="20">
        <v>23</v>
      </c>
      <c r="M311" s="24"/>
      <c r="N311" s="20">
        <f>N312+N313</f>
        <v>17089.400000000001</v>
      </c>
      <c r="O311" s="20">
        <f t="shared" ref="O311:AQ311" si="155">O312+O313</f>
        <v>17052</v>
      </c>
      <c r="P311" s="20">
        <f t="shared" si="155"/>
        <v>11950.1</v>
      </c>
      <c r="Q311" s="20">
        <f t="shared" si="155"/>
        <v>11924.5</v>
      </c>
      <c r="R311" s="20">
        <f t="shared" si="155"/>
        <v>5121.3999999999996</v>
      </c>
      <c r="S311" s="20">
        <f t="shared" si="155"/>
        <v>5110.5</v>
      </c>
      <c r="T311" s="20">
        <f t="shared" si="155"/>
        <v>0</v>
      </c>
      <c r="U311" s="20">
        <f t="shared" si="155"/>
        <v>0</v>
      </c>
      <c r="V311" s="20">
        <f t="shared" si="155"/>
        <v>17.899999999999999</v>
      </c>
      <c r="W311" s="20">
        <f t="shared" si="155"/>
        <v>17</v>
      </c>
      <c r="X311" s="20">
        <f t="shared" si="155"/>
        <v>19792.599999999999</v>
      </c>
      <c r="Y311" s="20">
        <f t="shared" si="155"/>
        <v>13247.9</v>
      </c>
      <c r="Z311" s="20">
        <f t="shared" si="155"/>
        <v>6525</v>
      </c>
      <c r="AA311" s="20">
        <f t="shared" si="155"/>
        <v>0</v>
      </c>
      <c r="AB311" s="20">
        <f t="shared" si="155"/>
        <v>19.7</v>
      </c>
      <c r="AC311" s="20">
        <f t="shared" si="155"/>
        <v>19300.900000000001</v>
      </c>
      <c r="AD311" s="20">
        <f t="shared" si="155"/>
        <v>12340.2</v>
      </c>
      <c r="AE311" s="20">
        <f t="shared" si="155"/>
        <v>6941.4000000000005</v>
      </c>
      <c r="AF311" s="20">
        <f t="shared" si="155"/>
        <v>0</v>
      </c>
      <c r="AG311" s="20">
        <f t="shared" si="155"/>
        <v>19.3</v>
      </c>
      <c r="AH311" s="20">
        <f t="shared" si="155"/>
        <v>18563.400000000001</v>
      </c>
      <c r="AI311" s="20">
        <f t="shared" si="155"/>
        <v>11312.300000000001</v>
      </c>
      <c r="AJ311" s="20">
        <f t="shared" si="155"/>
        <v>7232.5</v>
      </c>
      <c r="AK311" s="20">
        <f t="shared" si="155"/>
        <v>0</v>
      </c>
      <c r="AL311" s="20">
        <f t="shared" si="155"/>
        <v>18.600000000000001</v>
      </c>
      <c r="AM311" s="20">
        <f t="shared" si="155"/>
        <v>18563.400000000001</v>
      </c>
      <c r="AN311" s="20">
        <f t="shared" si="155"/>
        <v>11312.300000000001</v>
      </c>
      <c r="AO311" s="20">
        <f t="shared" si="155"/>
        <v>7232.5</v>
      </c>
      <c r="AP311" s="20">
        <f t="shared" si="155"/>
        <v>0</v>
      </c>
      <c r="AQ311" s="20">
        <f t="shared" si="155"/>
        <v>18.600000000000001</v>
      </c>
    </row>
    <row r="312" spans="1:43" ht="35.1" customHeight="1" thickBot="1">
      <c r="A312" s="14"/>
      <c r="B312" s="22"/>
      <c r="C312" s="23" t="s">
        <v>489</v>
      </c>
      <c r="D312" s="23" t="s">
        <v>490</v>
      </c>
      <c r="E312" s="23" t="s">
        <v>491</v>
      </c>
      <c r="F312" s="23" t="s">
        <v>492</v>
      </c>
      <c r="G312" s="23" t="s">
        <v>67</v>
      </c>
      <c r="H312" s="23" t="s">
        <v>493</v>
      </c>
      <c r="I312" s="228" t="s">
        <v>494</v>
      </c>
      <c r="J312" s="228" t="s">
        <v>147</v>
      </c>
      <c r="K312" s="26" t="s">
        <v>812</v>
      </c>
      <c r="L312" s="13"/>
      <c r="M312" s="24" t="s">
        <v>495</v>
      </c>
      <c r="N312" s="13">
        <f t="shared" ref="N312:O313" si="156">P312+R312+T312+V312</f>
        <v>13321.400000000001</v>
      </c>
      <c r="O312" s="13">
        <f>Q312+S312+U312+W312</f>
        <v>13320.7</v>
      </c>
      <c r="P312" s="13">
        <f>9775.1-1162.7+634.2+334.6+182.7-448.7</f>
        <v>9315.2000000000007</v>
      </c>
      <c r="Q312" s="13">
        <v>9315.2000000000007</v>
      </c>
      <c r="R312" s="13">
        <f>4189.3-498.3+271.8+143.4+78.3-192.3</f>
        <v>3992.2</v>
      </c>
      <c r="S312" s="13">
        <v>3992.2</v>
      </c>
      <c r="T312" s="13"/>
      <c r="U312" s="13"/>
      <c r="V312" s="13">
        <v>14</v>
      </c>
      <c r="W312" s="13">
        <v>13.3</v>
      </c>
      <c r="X312" s="13">
        <f>Y312+Z312+AA312+AB312</f>
        <v>15144.6</v>
      </c>
      <c r="Y312" s="13">
        <v>10136.799999999999</v>
      </c>
      <c r="Z312" s="13">
        <v>4992.7</v>
      </c>
      <c r="AA312" s="13"/>
      <c r="AB312" s="13">
        <v>15.1</v>
      </c>
      <c r="AC312" s="13">
        <f>AD312+AE312+AF312+AG312</f>
        <v>14794.3</v>
      </c>
      <c r="AD312" s="13">
        <v>9458.9</v>
      </c>
      <c r="AE312" s="13">
        <v>5320.6</v>
      </c>
      <c r="AF312" s="13"/>
      <c r="AG312" s="13">
        <v>14.8</v>
      </c>
      <c r="AH312" s="13">
        <f>AI312+AJ312+AK312+AL312</f>
        <v>14314.2</v>
      </c>
      <c r="AI312" s="13">
        <v>8743.2000000000007</v>
      </c>
      <c r="AJ312" s="13">
        <v>5556.6</v>
      </c>
      <c r="AK312" s="13"/>
      <c r="AL312" s="13">
        <v>14.4</v>
      </c>
      <c r="AM312" s="13">
        <f>AN312+AO312+AP312+AQ312</f>
        <v>14314.2</v>
      </c>
      <c r="AN312" s="13">
        <v>8743.2000000000007</v>
      </c>
      <c r="AO312" s="13">
        <v>5556.6</v>
      </c>
      <c r="AP312" s="13"/>
      <c r="AQ312" s="13">
        <v>14.4</v>
      </c>
    </row>
    <row r="313" spans="1:43" ht="35.1" customHeight="1" thickBot="1">
      <c r="A313" s="14"/>
      <c r="B313" s="22"/>
      <c r="C313" s="228"/>
      <c r="D313" s="228"/>
      <c r="E313" s="228"/>
      <c r="F313" s="228"/>
      <c r="G313" s="228"/>
      <c r="H313" s="67"/>
      <c r="I313" s="66"/>
      <c r="J313" s="228"/>
      <c r="K313" s="26"/>
      <c r="L313" s="13"/>
      <c r="M313" s="24" t="s">
        <v>496</v>
      </c>
      <c r="N313" s="13">
        <f t="shared" si="156"/>
        <v>3767.9999999999995</v>
      </c>
      <c r="O313" s="13">
        <f t="shared" si="156"/>
        <v>3731.3</v>
      </c>
      <c r="P313" s="13">
        <f>2795.2-84-76.3</f>
        <v>2634.8999999999996</v>
      </c>
      <c r="Q313" s="13">
        <v>2609.3000000000002</v>
      </c>
      <c r="R313" s="13">
        <f>1197.9-36-32.7</f>
        <v>1129.2</v>
      </c>
      <c r="S313" s="13">
        <v>1118.3</v>
      </c>
      <c r="T313" s="13"/>
      <c r="U313" s="13"/>
      <c r="V313" s="13">
        <v>3.9</v>
      </c>
      <c r="W313" s="13">
        <v>3.7</v>
      </c>
      <c r="X313" s="13">
        <f>Y313+Z313+AA313+AB313</f>
        <v>4648</v>
      </c>
      <c r="Y313" s="13">
        <v>3111.1</v>
      </c>
      <c r="Z313" s="13">
        <v>1532.3</v>
      </c>
      <c r="AA313" s="13"/>
      <c r="AB313" s="13">
        <v>4.5999999999999996</v>
      </c>
      <c r="AC313" s="13">
        <f>AD313+AE313+AF313+AG313</f>
        <v>4506.6000000000004</v>
      </c>
      <c r="AD313" s="13">
        <v>2881.3</v>
      </c>
      <c r="AE313" s="13">
        <v>1620.8</v>
      </c>
      <c r="AF313" s="13"/>
      <c r="AG313" s="13">
        <v>4.5</v>
      </c>
      <c r="AH313" s="13">
        <f>AI313+AJ313+AK313+AL313</f>
        <v>4249.2</v>
      </c>
      <c r="AI313" s="13">
        <v>2569.1</v>
      </c>
      <c r="AJ313" s="13">
        <v>1675.9</v>
      </c>
      <c r="AK313" s="13"/>
      <c r="AL313" s="13">
        <v>4.2</v>
      </c>
      <c r="AM313" s="13">
        <f>AN313+AO313+AP313+AQ313</f>
        <v>4249.2</v>
      </c>
      <c r="AN313" s="13">
        <v>2569.1</v>
      </c>
      <c r="AO313" s="13">
        <v>1675.9</v>
      </c>
      <c r="AP313" s="13"/>
      <c r="AQ313" s="13">
        <v>4.2</v>
      </c>
    </row>
    <row r="314" spans="1:43" ht="35.1" customHeight="1" thickBot="1">
      <c r="A314" s="278" t="s">
        <v>497</v>
      </c>
      <c r="B314" s="21">
        <v>2625</v>
      </c>
      <c r="C314" s="19"/>
      <c r="D314" s="20"/>
      <c r="E314" s="20"/>
      <c r="F314" s="82"/>
      <c r="G314" s="82"/>
      <c r="H314" s="82"/>
      <c r="I314" s="82"/>
      <c r="J314" s="82"/>
      <c r="K314" s="82"/>
      <c r="L314" s="82"/>
      <c r="M314" s="56" t="s">
        <v>498</v>
      </c>
      <c r="N314" s="20">
        <f>N315+N316+N317+N318+N319+N320</f>
        <v>6688</v>
      </c>
      <c r="O314" s="20">
        <f t="shared" ref="O314:AQ314" si="157">O315+O316+O317+O318+O319+O320</f>
        <v>4668</v>
      </c>
      <c r="P314" s="20">
        <f t="shared" si="157"/>
        <v>0</v>
      </c>
      <c r="Q314" s="20">
        <f t="shared" si="157"/>
        <v>0</v>
      </c>
      <c r="R314" s="20">
        <f t="shared" si="157"/>
        <v>2643</v>
      </c>
      <c r="S314" s="20">
        <f t="shared" si="157"/>
        <v>2423</v>
      </c>
      <c r="T314" s="20">
        <f t="shared" si="157"/>
        <v>0</v>
      </c>
      <c r="U314" s="20">
        <f t="shared" si="157"/>
        <v>0</v>
      </c>
      <c r="V314" s="20">
        <f t="shared" si="157"/>
        <v>4045</v>
      </c>
      <c r="W314" s="20">
        <f t="shared" si="157"/>
        <v>2245</v>
      </c>
      <c r="X314" s="20">
        <f t="shared" si="157"/>
        <v>0</v>
      </c>
      <c r="Y314" s="20">
        <f t="shared" si="157"/>
        <v>0</v>
      </c>
      <c r="Z314" s="20">
        <f t="shared" si="157"/>
        <v>0</v>
      </c>
      <c r="AA314" s="20">
        <f t="shared" si="157"/>
        <v>0</v>
      </c>
      <c r="AB314" s="20">
        <f t="shared" si="157"/>
        <v>0</v>
      </c>
      <c r="AC314" s="20">
        <f t="shared" si="157"/>
        <v>0</v>
      </c>
      <c r="AD314" s="20">
        <f t="shared" si="157"/>
        <v>0</v>
      </c>
      <c r="AE314" s="20">
        <f t="shared" si="157"/>
        <v>0</v>
      </c>
      <c r="AF314" s="20">
        <f t="shared" si="157"/>
        <v>0</v>
      </c>
      <c r="AG314" s="20">
        <f t="shared" si="157"/>
        <v>0</v>
      </c>
      <c r="AH314" s="20">
        <f t="shared" si="157"/>
        <v>0</v>
      </c>
      <c r="AI314" s="20">
        <f t="shared" si="157"/>
        <v>0</v>
      </c>
      <c r="AJ314" s="20">
        <f t="shared" si="157"/>
        <v>0</v>
      </c>
      <c r="AK314" s="20">
        <f t="shared" si="157"/>
        <v>0</v>
      </c>
      <c r="AL314" s="20">
        <f t="shared" si="157"/>
        <v>0</v>
      </c>
      <c r="AM314" s="20">
        <f t="shared" si="157"/>
        <v>0</v>
      </c>
      <c r="AN314" s="20">
        <f t="shared" si="157"/>
        <v>0</v>
      </c>
      <c r="AO314" s="20">
        <f t="shared" si="157"/>
        <v>0</v>
      </c>
      <c r="AP314" s="20">
        <f t="shared" si="157"/>
        <v>0</v>
      </c>
      <c r="AQ314" s="20">
        <f t="shared" si="157"/>
        <v>0</v>
      </c>
    </row>
    <row r="315" spans="1:43" ht="35.1" customHeight="1">
      <c r="A315" s="59"/>
      <c r="B315" s="54"/>
      <c r="C315" s="23" t="s">
        <v>489</v>
      </c>
      <c r="D315" s="23" t="s">
        <v>499</v>
      </c>
      <c r="E315" s="23" t="s">
        <v>491</v>
      </c>
      <c r="F315" s="23" t="s">
        <v>500</v>
      </c>
      <c r="G315" s="23"/>
      <c r="H315" s="23" t="s">
        <v>501</v>
      </c>
      <c r="I315" s="24" t="s">
        <v>502</v>
      </c>
      <c r="J315" s="43" t="s">
        <v>97</v>
      </c>
      <c r="K315" s="184" t="s">
        <v>767</v>
      </c>
      <c r="L315" s="43"/>
      <c r="M315" s="220" t="s">
        <v>503</v>
      </c>
      <c r="N315" s="13">
        <f t="shared" ref="N315:O320" si="158">P315+R315+T315+V315</f>
        <v>45</v>
      </c>
      <c r="O315" s="13">
        <f t="shared" si="158"/>
        <v>45</v>
      </c>
      <c r="P315" s="43"/>
      <c r="Q315" s="43"/>
      <c r="R315" s="43"/>
      <c r="S315" s="43"/>
      <c r="T315" s="43"/>
      <c r="U315" s="43"/>
      <c r="V315" s="43">
        <f>15+30</f>
        <v>45</v>
      </c>
      <c r="W315" s="43">
        <v>45</v>
      </c>
      <c r="X315" s="13">
        <f>Y315+Z315+AA315+AB315</f>
        <v>0</v>
      </c>
      <c r="Y315" s="43"/>
      <c r="Z315" s="43"/>
      <c r="AA315" s="43"/>
      <c r="AB315" s="43">
        <v>0</v>
      </c>
      <c r="AC315" s="13">
        <f>AD315+AE315+AF315+AG315</f>
        <v>0</v>
      </c>
      <c r="AD315" s="43"/>
      <c r="AE315" s="43"/>
      <c r="AF315" s="43"/>
      <c r="AG315" s="43"/>
      <c r="AH315" s="13">
        <f>AI315+AJ315+AK315+AL315</f>
        <v>0</v>
      </c>
      <c r="AI315" s="43"/>
      <c r="AJ315" s="43"/>
      <c r="AK315" s="43"/>
      <c r="AL315" s="43"/>
      <c r="AM315" s="13">
        <f>AN315+AO315+AP315+AQ315</f>
        <v>0</v>
      </c>
      <c r="AN315" s="43"/>
      <c r="AO315" s="43"/>
      <c r="AP315" s="43"/>
      <c r="AQ315" s="43"/>
    </row>
    <row r="316" spans="1:43" ht="35.1" customHeight="1">
      <c r="A316" s="122"/>
      <c r="B316" s="54"/>
      <c r="C316" s="240"/>
      <c r="D316" s="43"/>
      <c r="E316" s="43"/>
      <c r="F316" s="43"/>
      <c r="G316" s="43"/>
      <c r="H316" s="43"/>
      <c r="I316" s="24" t="s">
        <v>504</v>
      </c>
      <c r="J316" s="43" t="s">
        <v>97</v>
      </c>
      <c r="K316" s="184" t="s">
        <v>767</v>
      </c>
      <c r="L316" s="43"/>
      <c r="M316" s="220" t="s">
        <v>505</v>
      </c>
      <c r="N316" s="43">
        <f t="shared" si="158"/>
        <v>4000</v>
      </c>
      <c r="O316" s="43">
        <f t="shared" si="158"/>
        <v>2200</v>
      </c>
      <c r="P316" s="43"/>
      <c r="Q316" s="43"/>
      <c r="R316" s="43"/>
      <c r="S316" s="43"/>
      <c r="T316" s="43"/>
      <c r="U316" s="43"/>
      <c r="V316" s="43">
        <f>2000+2000</f>
        <v>4000</v>
      </c>
      <c r="W316" s="43">
        <v>2200</v>
      </c>
      <c r="X316" s="13">
        <f>Y316+Z316+AA316+AB316</f>
        <v>0</v>
      </c>
      <c r="Y316" s="43"/>
      <c r="Z316" s="43"/>
      <c r="AA316" s="43"/>
      <c r="AB316" s="43">
        <v>0</v>
      </c>
      <c r="AC316" s="13">
        <f>AD316+AE316+AF316+AG316</f>
        <v>0</v>
      </c>
      <c r="AD316" s="43"/>
      <c r="AE316" s="43"/>
      <c r="AF316" s="43"/>
      <c r="AG316" s="43">
        <v>0</v>
      </c>
      <c r="AH316" s="13">
        <f>AI316+AJ316+AK316+AL316</f>
        <v>0</v>
      </c>
      <c r="AI316" s="43"/>
      <c r="AJ316" s="43"/>
      <c r="AK316" s="43"/>
      <c r="AL316" s="43">
        <v>0</v>
      </c>
      <c r="AM316" s="13">
        <f>AN316+AO316+AP316+AQ316</f>
        <v>0</v>
      </c>
      <c r="AN316" s="43"/>
      <c r="AO316" s="43"/>
      <c r="AP316" s="43"/>
      <c r="AQ316" s="43">
        <v>0</v>
      </c>
    </row>
    <row r="317" spans="1:43" ht="35.1" customHeight="1" thickBot="1">
      <c r="A317" s="14"/>
      <c r="B317" s="22"/>
      <c r="C317" s="228"/>
      <c r="D317" s="228"/>
      <c r="E317" s="228"/>
      <c r="F317" s="228" t="s">
        <v>732</v>
      </c>
      <c r="G317" s="228" t="s">
        <v>147</v>
      </c>
      <c r="H317" s="228" t="s">
        <v>733</v>
      </c>
      <c r="I317" s="62"/>
      <c r="J317" s="228"/>
      <c r="K317" s="63"/>
      <c r="L317" s="13"/>
      <c r="M317" s="24" t="s">
        <v>506</v>
      </c>
      <c r="N317" s="13">
        <f>P317+R317+T317+V317</f>
        <v>1030.7</v>
      </c>
      <c r="O317" s="13">
        <f t="shared" si="158"/>
        <v>884.1</v>
      </c>
      <c r="P317" s="13"/>
      <c r="Q317" s="13"/>
      <c r="R317" s="13">
        <f>319.8+810.9-100</f>
        <v>1030.7</v>
      </c>
      <c r="S317" s="13">
        <v>884.1</v>
      </c>
      <c r="T317" s="13"/>
      <c r="U317" s="13"/>
      <c r="V317" s="13"/>
      <c r="W317" s="13"/>
      <c r="X317" s="13">
        <f>Y317+Z317+AB317</f>
        <v>0</v>
      </c>
      <c r="Y317" s="13"/>
      <c r="Z317" s="13"/>
      <c r="AA317" s="13"/>
      <c r="AB317" s="43">
        <v>0</v>
      </c>
      <c r="AC317" s="13">
        <f>AD317+AE317+AG317</f>
        <v>0</v>
      </c>
      <c r="AD317" s="13"/>
      <c r="AE317" s="13"/>
      <c r="AF317" s="13"/>
      <c r="AG317" s="43">
        <v>0</v>
      </c>
      <c r="AH317" s="20">
        <f>AI317+AJ317+AL317</f>
        <v>0</v>
      </c>
      <c r="AI317" s="13"/>
      <c r="AJ317" s="13"/>
      <c r="AK317" s="13"/>
      <c r="AL317" s="43">
        <v>0</v>
      </c>
      <c r="AM317" s="20">
        <f>AN317+AO317+AQ317</f>
        <v>0</v>
      </c>
      <c r="AN317" s="13"/>
      <c r="AO317" s="13"/>
      <c r="AP317" s="13"/>
      <c r="AQ317" s="43">
        <v>0</v>
      </c>
    </row>
    <row r="318" spans="1:43" ht="35.1" customHeight="1" thickBot="1">
      <c r="A318" s="14"/>
      <c r="B318" s="22"/>
      <c r="C318" s="228"/>
      <c r="D318" s="228"/>
      <c r="E318" s="228"/>
      <c r="F318" s="63" t="s">
        <v>507</v>
      </c>
      <c r="G318" s="228" t="s">
        <v>147</v>
      </c>
      <c r="H318" s="63" t="s">
        <v>790</v>
      </c>
      <c r="I318" s="68"/>
      <c r="J318" s="228"/>
      <c r="K318" s="63"/>
      <c r="L318" s="13"/>
      <c r="M318" s="24" t="s">
        <v>508</v>
      </c>
      <c r="N318" s="13">
        <f>P318+R318+T318+V318</f>
        <v>286.8</v>
      </c>
      <c r="O318" s="13">
        <f t="shared" si="158"/>
        <v>261.10000000000002</v>
      </c>
      <c r="P318" s="13"/>
      <c r="Q318" s="13"/>
      <c r="R318" s="13">
        <f>72+214.8</f>
        <v>286.8</v>
      </c>
      <c r="S318" s="13">
        <v>261.10000000000002</v>
      </c>
      <c r="T318" s="13"/>
      <c r="U318" s="13"/>
      <c r="V318" s="13"/>
      <c r="W318" s="13"/>
      <c r="X318" s="13">
        <f>Y318+Z318+AB318</f>
        <v>0</v>
      </c>
      <c r="Y318" s="13"/>
      <c r="Z318" s="13"/>
      <c r="AA318" s="13"/>
      <c r="AB318" s="43">
        <v>0</v>
      </c>
      <c r="AC318" s="13">
        <f>AD318+AE318+AG318</f>
        <v>0</v>
      </c>
      <c r="AD318" s="13"/>
      <c r="AE318" s="13"/>
      <c r="AF318" s="13"/>
      <c r="AG318" s="43">
        <v>0</v>
      </c>
      <c r="AH318" s="20">
        <f>AI318+AJ318+AL318</f>
        <v>0</v>
      </c>
      <c r="AI318" s="13"/>
      <c r="AJ318" s="13"/>
      <c r="AK318" s="13"/>
      <c r="AL318" s="43">
        <v>0</v>
      </c>
      <c r="AM318" s="20">
        <f>AN318+AO318+AQ318</f>
        <v>0</v>
      </c>
      <c r="AN318" s="13"/>
      <c r="AO318" s="13"/>
      <c r="AP318" s="13"/>
      <c r="AQ318" s="43">
        <v>0</v>
      </c>
    </row>
    <row r="319" spans="1:43" ht="35.1" customHeight="1" thickBot="1">
      <c r="A319" s="14"/>
      <c r="B319" s="22"/>
      <c r="C319" s="228"/>
      <c r="D319" s="228"/>
      <c r="E319" s="228"/>
      <c r="F319" s="25"/>
      <c r="G319" s="25"/>
      <c r="H319" s="25"/>
      <c r="I319" s="68"/>
      <c r="J319" s="228"/>
      <c r="K319" s="63"/>
      <c r="L319" s="13"/>
      <c r="M319" s="24" t="s">
        <v>509</v>
      </c>
      <c r="N319" s="13">
        <f>P319+R319+T319+V319</f>
        <v>1182.2</v>
      </c>
      <c r="O319" s="13">
        <f t="shared" si="158"/>
        <v>1140.7</v>
      </c>
      <c r="P319" s="13"/>
      <c r="Q319" s="13"/>
      <c r="R319" s="13">
        <v>1182.2</v>
      </c>
      <c r="S319" s="13">
        <v>1140.7</v>
      </c>
      <c r="T319" s="13"/>
      <c r="U319" s="13"/>
      <c r="V319" s="13"/>
      <c r="W319" s="13"/>
      <c r="X319" s="13">
        <f>Y319+Z319+AB319</f>
        <v>0</v>
      </c>
      <c r="Y319" s="13"/>
      <c r="Z319" s="13"/>
      <c r="AA319" s="13"/>
      <c r="AB319" s="43">
        <v>0</v>
      </c>
      <c r="AC319" s="13">
        <f>AD319+AE319+AG319</f>
        <v>0</v>
      </c>
      <c r="AD319" s="13"/>
      <c r="AE319" s="13"/>
      <c r="AF319" s="13"/>
      <c r="AG319" s="43">
        <v>0</v>
      </c>
      <c r="AH319" s="20">
        <f>AI319+AJ319+AL319</f>
        <v>0</v>
      </c>
      <c r="AI319" s="13"/>
      <c r="AJ319" s="13"/>
      <c r="AK319" s="13"/>
      <c r="AL319" s="43">
        <v>0</v>
      </c>
      <c r="AM319" s="20">
        <f>AN319+AO319+AQ319</f>
        <v>0</v>
      </c>
      <c r="AN319" s="13"/>
      <c r="AO319" s="13"/>
      <c r="AP319" s="13"/>
      <c r="AQ319" s="43">
        <v>0</v>
      </c>
    </row>
    <row r="320" spans="1:43" ht="35.1" customHeight="1" thickBot="1">
      <c r="A320" s="14"/>
      <c r="B320" s="22"/>
      <c r="C320" s="228"/>
      <c r="D320" s="228"/>
      <c r="E320" s="228"/>
      <c r="F320" s="25"/>
      <c r="G320" s="25"/>
      <c r="H320" s="25"/>
      <c r="I320" s="68"/>
      <c r="J320" s="228"/>
      <c r="K320" s="63"/>
      <c r="L320" s="13"/>
      <c r="M320" s="24" t="s">
        <v>510</v>
      </c>
      <c r="N320" s="13">
        <f>P320+R320+T320+V320</f>
        <v>143.30000000000001</v>
      </c>
      <c r="O320" s="13">
        <f t="shared" si="158"/>
        <v>137.1</v>
      </c>
      <c r="P320" s="13"/>
      <c r="Q320" s="13"/>
      <c r="R320" s="13">
        <f>76.9+66.4</f>
        <v>143.30000000000001</v>
      </c>
      <c r="S320" s="13">
        <v>137.1</v>
      </c>
      <c r="T320" s="13"/>
      <c r="U320" s="13"/>
      <c r="V320" s="13"/>
      <c r="W320" s="13"/>
      <c r="X320" s="13">
        <f>Y320+Z320+AB320</f>
        <v>0</v>
      </c>
      <c r="Y320" s="13"/>
      <c r="Z320" s="13"/>
      <c r="AA320" s="13"/>
      <c r="AB320" s="43">
        <v>0</v>
      </c>
      <c r="AC320" s="13">
        <f>AD320+AE320+AG320</f>
        <v>0</v>
      </c>
      <c r="AD320" s="13"/>
      <c r="AE320" s="13"/>
      <c r="AF320" s="13"/>
      <c r="AG320" s="43">
        <v>0</v>
      </c>
      <c r="AH320" s="20">
        <f>AI320+AJ320+AL320</f>
        <v>0</v>
      </c>
      <c r="AI320" s="13"/>
      <c r="AJ320" s="13"/>
      <c r="AK320" s="13"/>
      <c r="AL320" s="43">
        <v>0</v>
      </c>
      <c r="AM320" s="20">
        <f>AN320+AO320+AQ320</f>
        <v>0</v>
      </c>
      <c r="AN320" s="13"/>
      <c r="AO320" s="13"/>
      <c r="AP320" s="13"/>
      <c r="AQ320" s="43">
        <v>0</v>
      </c>
    </row>
    <row r="321" spans="1:43" ht="35.1" customHeight="1">
      <c r="A321" s="87" t="s">
        <v>511</v>
      </c>
      <c r="B321" s="115">
        <v>2700</v>
      </c>
      <c r="C321" s="9" t="s">
        <v>27</v>
      </c>
      <c r="D321" s="9" t="s">
        <v>27</v>
      </c>
      <c r="E321" s="9" t="s">
        <v>27</v>
      </c>
      <c r="F321" s="9"/>
      <c r="G321" s="9"/>
      <c r="H321" s="9"/>
      <c r="I321" s="123" t="s">
        <v>27</v>
      </c>
      <c r="J321" s="9" t="s">
        <v>27</v>
      </c>
      <c r="K321" s="9" t="s">
        <v>27</v>
      </c>
      <c r="L321" s="9" t="s">
        <v>27</v>
      </c>
      <c r="M321" s="75"/>
      <c r="N321" s="20">
        <f t="shared" ref="N321:AQ321" si="159">N322+N332</f>
        <v>998.1</v>
      </c>
      <c r="O321" s="20">
        <f t="shared" si="159"/>
        <v>901.5</v>
      </c>
      <c r="P321" s="20">
        <f t="shared" si="159"/>
        <v>0</v>
      </c>
      <c r="Q321" s="20">
        <f t="shared" si="159"/>
        <v>0</v>
      </c>
      <c r="R321" s="20">
        <f t="shared" si="159"/>
        <v>464.2</v>
      </c>
      <c r="S321" s="20">
        <f t="shared" si="159"/>
        <v>464.2</v>
      </c>
      <c r="T321" s="20">
        <f t="shared" si="159"/>
        <v>0</v>
      </c>
      <c r="U321" s="20">
        <f t="shared" si="159"/>
        <v>0</v>
      </c>
      <c r="V321" s="20">
        <f t="shared" si="159"/>
        <v>533.90000000000009</v>
      </c>
      <c r="W321" s="20">
        <f t="shared" si="159"/>
        <v>437.3</v>
      </c>
      <c r="X321" s="20">
        <f t="shared" si="159"/>
        <v>240</v>
      </c>
      <c r="Y321" s="20">
        <f t="shared" si="159"/>
        <v>0</v>
      </c>
      <c r="Z321" s="20">
        <f t="shared" si="159"/>
        <v>0</v>
      </c>
      <c r="AA321" s="20">
        <f t="shared" si="159"/>
        <v>0</v>
      </c>
      <c r="AB321" s="20">
        <f t="shared" si="159"/>
        <v>240</v>
      </c>
      <c r="AC321" s="20">
        <f t="shared" si="159"/>
        <v>240</v>
      </c>
      <c r="AD321" s="20">
        <f t="shared" si="159"/>
        <v>0</v>
      </c>
      <c r="AE321" s="20">
        <f t="shared" si="159"/>
        <v>0</v>
      </c>
      <c r="AF321" s="20">
        <f t="shared" si="159"/>
        <v>0</v>
      </c>
      <c r="AG321" s="20">
        <f t="shared" si="159"/>
        <v>240</v>
      </c>
      <c r="AH321" s="20">
        <f t="shared" si="159"/>
        <v>240</v>
      </c>
      <c r="AI321" s="20">
        <f t="shared" si="159"/>
        <v>0</v>
      </c>
      <c r="AJ321" s="20">
        <f t="shared" si="159"/>
        <v>0</v>
      </c>
      <c r="AK321" s="20">
        <f t="shared" si="159"/>
        <v>0</v>
      </c>
      <c r="AL321" s="20">
        <f t="shared" si="159"/>
        <v>240</v>
      </c>
      <c r="AM321" s="20">
        <f t="shared" si="159"/>
        <v>240</v>
      </c>
      <c r="AN321" s="20">
        <f t="shared" si="159"/>
        <v>0</v>
      </c>
      <c r="AO321" s="20">
        <f t="shared" si="159"/>
        <v>0</v>
      </c>
      <c r="AP321" s="20">
        <f t="shared" si="159"/>
        <v>0</v>
      </c>
      <c r="AQ321" s="20">
        <f t="shared" si="159"/>
        <v>240</v>
      </c>
    </row>
    <row r="322" spans="1:43" ht="35.1" customHeight="1">
      <c r="A322" s="87" t="s">
        <v>512</v>
      </c>
      <c r="B322" s="115">
        <v>2701</v>
      </c>
      <c r="C322" s="9" t="s">
        <v>27</v>
      </c>
      <c r="D322" s="9" t="s">
        <v>27</v>
      </c>
      <c r="E322" s="9" t="s">
        <v>27</v>
      </c>
      <c r="F322" s="9"/>
      <c r="G322" s="9"/>
      <c r="H322" s="9"/>
      <c r="I322" s="123" t="s">
        <v>27</v>
      </c>
      <c r="J322" s="9" t="s">
        <v>27</v>
      </c>
      <c r="K322" s="9" t="s">
        <v>27</v>
      </c>
      <c r="L322" s="9" t="s">
        <v>27</v>
      </c>
      <c r="M322" s="9" t="s">
        <v>27</v>
      </c>
      <c r="N322" s="20">
        <f>N326</f>
        <v>468.9</v>
      </c>
      <c r="O322" s="20">
        <f t="shared" ref="O322:W322" si="160">O326</f>
        <v>468.9</v>
      </c>
      <c r="P322" s="20">
        <f t="shared" si="160"/>
        <v>0</v>
      </c>
      <c r="Q322" s="20">
        <f t="shared" si="160"/>
        <v>0</v>
      </c>
      <c r="R322" s="20">
        <f t="shared" si="160"/>
        <v>464.2</v>
      </c>
      <c r="S322" s="20">
        <f t="shared" si="160"/>
        <v>464.2</v>
      </c>
      <c r="T322" s="20">
        <f t="shared" si="160"/>
        <v>0</v>
      </c>
      <c r="U322" s="20">
        <f t="shared" si="160"/>
        <v>0</v>
      </c>
      <c r="V322" s="20">
        <f t="shared" si="160"/>
        <v>4.7</v>
      </c>
      <c r="W322" s="20">
        <f t="shared" si="160"/>
        <v>4.7</v>
      </c>
      <c r="X322" s="20">
        <f>X326</f>
        <v>0</v>
      </c>
      <c r="Y322" s="20">
        <f t="shared" ref="Y322:AQ322" si="161">Y326</f>
        <v>0</v>
      </c>
      <c r="Z322" s="20">
        <f t="shared" si="161"/>
        <v>0</v>
      </c>
      <c r="AA322" s="20">
        <f t="shared" si="161"/>
        <v>0</v>
      </c>
      <c r="AB322" s="20">
        <f t="shared" si="161"/>
        <v>0</v>
      </c>
      <c r="AC322" s="20">
        <f t="shared" si="161"/>
        <v>0</v>
      </c>
      <c r="AD322" s="20">
        <f t="shared" si="161"/>
        <v>0</v>
      </c>
      <c r="AE322" s="20">
        <f t="shared" si="161"/>
        <v>0</v>
      </c>
      <c r="AF322" s="20">
        <f t="shared" si="161"/>
        <v>0</v>
      </c>
      <c r="AG322" s="20">
        <f t="shared" si="161"/>
        <v>0</v>
      </c>
      <c r="AH322" s="20">
        <f t="shared" si="161"/>
        <v>0</v>
      </c>
      <c r="AI322" s="20">
        <f t="shared" si="161"/>
        <v>0</v>
      </c>
      <c r="AJ322" s="20">
        <f t="shared" si="161"/>
        <v>0</v>
      </c>
      <c r="AK322" s="20">
        <f t="shared" si="161"/>
        <v>0</v>
      </c>
      <c r="AL322" s="20">
        <f t="shared" si="161"/>
        <v>0</v>
      </c>
      <c r="AM322" s="20">
        <f t="shared" si="161"/>
        <v>0</v>
      </c>
      <c r="AN322" s="20">
        <f t="shared" si="161"/>
        <v>0</v>
      </c>
      <c r="AO322" s="20">
        <f t="shared" si="161"/>
        <v>0</v>
      </c>
      <c r="AP322" s="20">
        <f t="shared" si="161"/>
        <v>0</v>
      </c>
      <c r="AQ322" s="20">
        <f t="shared" si="161"/>
        <v>0</v>
      </c>
    </row>
    <row r="323" spans="1:43" ht="35.1" customHeight="1">
      <c r="A323" s="93" t="s">
        <v>29</v>
      </c>
      <c r="B323" s="124">
        <v>2702</v>
      </c>
      <c r="C323" s="12"/>
      <c r="D323" s="13"/>
      <c r="E323" s="13"/>
      <c r="F323" s="13"/>
      <c r="G323" s="13"/>
      <c r="H323" s="13"/>
      <c r="I323" s="125"/>
      <c r="J323" s="13"/>
      <c r="K323" s="13"/>
      <c r="L323" s="13"/>
      <c r="M323" s="9" t="s">
        <v>27</v>
      </c>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row>
    <row r="324" spans="1:43" ht="35.1" customHeight="1">
      <c r="A324" s="59" t="s">
        <v>513</v>
      </c>
      <c r="B324" s="126">
        <v>2714</v>
      </c>
      <c r="C324" s="19"/>
      <c r="D324" s="20"/>
      <c r="E324" s="20"/>
      <c r="F324" s="20"/>
      <c r="G324" s="20"/>
      <c r="H324" s="20"/>
      <c r="I324" s="116"/>
      <c r="J324" s="20"/>
      <c r="K324" s="20"/>
      <c r="L324" s="20">
        <v>24</v>
      </c>
      <c r="M324" s="13"/>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row>
    <row r="325" spans="1:43" ht="35.1" customHeight="1">
      <c r="A325" s="59"/>
      <c r="B325" s="124"/>
      <c r="C325" s="12"/>
      <c r="D325" s="13"/>
      <c r="E325" s="13"/>
      <c r="F325" s="13"/>
      <c r="G325" s="13"/>
      <c r="H325" s="13"/>
      <c r="I325" s="125"/>
      <c r="J325" s="13"/>
      <c r="K325" s="13"/>
      <c r="L325" s="13"/>
      <c r="M325" s="75"/>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row>
    <row r="326" spans="1:43" ht="35.1" customHeight="1">
      <c r="A326" s="59" t="s">
        <v>514</v>
      </c>
      <c r="B326" s="127">
        <v>2716</v>
      </c>
      <c r="C326" s="19"/>
      <c r="D326" s="20"/>
      <c r="E326" s="20"/>
      <c r="F326" s="20"/>
      <c r="G326" s="20"/>
      <c r="H326" s="20"/>
      <c r="I326" s="116"/>
      <c r="J326" s="20"/>
      <c r="K326" s="20"/>
      <c r="L326" s="20">
        <v>24</v>
      </c>
      <c r="M326" s="24"/>
      <c r="N326" s="20">
        <f t="shared" ref="N326:AQ326" si="162">N327</f>
        <v>468.9</v>
      </c>
      <c r="O326" s="20">
        <f t="shared" si="162"/>
        <v>468.9</v>
      </c>
      <c r="P326" s="20">
        <f t="shared" si="162"/>
        <v>0</v>
      </c>
      <c r="Q326" s="20">
        <f t="shared" si="162"/>
        <v>0</v>
      </c>
      <c r="R326" s="20">
        <f t="shared" si="162"/>
        <v>464.2</v>
      </c>
      <c r="S326" s="20">
        <f t="shared" si="162"/>
        <v>464.2</v>
      </c>
      <c r="T326" s="20">
        <f t="shared" si="162"/>
        <v>0</v>
      </c>
      <c r="U326" s="20">
        <f t="shared" si="162"/>
        <v>0</v>
      </c>
      <c r="V326" s="20">
        <f t="shared" si="162"/>
        <v>4.7</v>
      </c>
      <c r="W326" s="20">
        <f t="shared" si="162"/>
        <v>4.7</v>
      </c>
      <c r="X326" s="20">
        <f t="shared" si="162"/>
        <v>0</v>
      </c>
      <c r="Y326" s="20">
        <f t="shared" si="162"/>
        <v>0</v>
      </c>
      <c r="Z326" s="20">
        <f t="shared" si="162"/>
        <v>0</v>
      </c>
      <c r="AA326" s="20">
        <f t="shared" si="162"/>
        <v>0</v>
      </c>
      <c r="AB326" s="20">
        <f t="shared" si="162"/>
        <v>0</v>
      </c>
      <c r="AC326" s="20">
        <f t="shared" si="162"/>
        <v>0</v>
      </c>
      <c r="AD326" s="20">
        <f t="shared" si="162"/>
        <v>0</v>
      </c>
      <c r="AE326" s="20">
        <f t="shared" si="162"/>
        <v>0</v>
      </c>
      <c r="AF326" s="20">
        <f t="shared" si="162"/>
        <v>0</v>
      </c>
      <c r="AG326" s="20">
        <f t="shared" si="162"/>
        <v>0</v>
      </c>
      <c r="AH326" s="20">
        <f t="shared" si="162"/>
        <v>0</v>
      </c>
      <c r="AI326" s="20">
        <f t="shared" si="162"/>
        <v>0</v>
      </c>
      <c r="AJ326" s="20">
        <f t="shared" si="162"/>
        <v>0</v>
      </c>
      <c r="AK326" s="20">
        <f t="shared" si="162"/>
        <v>0</v>
      </c>
      <c r="AL326" s="20">
        <f t="shared" si="162"/>
        <v>0</v>
      </c>
      <c r="AM326" s="20">
        <f t="shared" si="162"/>
        <v>0</v>
      </c>
      <c r="AN326" s="20">
        <f t="shared" si="162"/>
        <v>0</v>
      </c>
      <c r="AO326" s="20">
        <f t="shared" si="162"/>
        <v>0</v>
      </c>
      <c r="AP326" s="20">
        <f t="shared" si="162"/>
        <v>0</v>
      </c>
      <c r="AQ326" s="20">
        <f t="shared" si="162"/>
        <v>0</v>
      </c>
    </row>
    <row r="327" spans="1:43" ht="35.1" customHeight="1">
      <c r="A327" s="40"/>
      <c r="B327" s="90"/>
      <c r="C327" s="23" t="s">
        <v>322</v>
      </c>
      <c r="D327" s="23" t="s">
        <v>242</v>
      </c>
      <c r="E327" s="23" t="s">
        <v>323</v>
      </c>
      <c r="F327" s="228" t="s">
        <v>763</v>
      </c>
      <c r="G327" s="228" t="s">
        <v>147</v>
      </c>
      <c r="H327" s="129">
        <v>46119</v>
      </c>
      <c r="I327" s="23" t="s">
        <v>225</v>
      </c>
      <c r="J327" s="228" t="s">
        <v>147</v>
      </c>
      <c r="K327" s="24" t="s">
        <v>764</v>
      </c>
      <c r="L327" s="13"/>
      <c r="M327" s="24" t="s">
        <v>515</v>
      </c>
      <c r="N327" s="13">
        <f>P327+R327+T327+V327</f>
        <v>468.9</v>
      </c>
      <c r="O327" s="13">
        <f>Q327+S327+W327</f>
        <v>468.9</v>
      </c>
      <c r="P327" s="13"/>
      <c r="Q327" s="13"/>
      <c r="R327" s="13">
        <v>464.2</v>
      </c>
      <c r="S327" s="13">
        <v>464.2</v>
      </c>
      <c r="T327" s="13"/>
      <c r="U327" s="13"/>
      <c r="V327" s="13">
        <v>4.7</v>
      </c>
      <c r="W327" s="13">
        <v>4.7</v>
      </c>
      <c r="X327" s="13">
        <f>Y327+Z327+AA327+AB327</f>
        <v>0</v>
      </c>
      <c r="Y327" s="13"/>
      <c r="Z327" s="13">
        <v>0</v>
      </c>
      <c r="AA327" s="13"/>
      <c r="AB327" s="13">
        <v>0</v>
      </c>
      <c r="AC327" s="13">
        <f>AD327+AE327+AF327+AG327</f>
        <v>0</v>
      </c>
      <c r="AD327" s="13"/>
      <c r="AE327" s="13">
        <v>0</v>
      </c>
      <c r="AF327" s="13"/>
      <c r="AG327" s="13">
        <v>0</v>
      </c>
      <c r="AH327" s="13">
        <f>AI327+AJ327+AK327+AL327</f>
        <v>0</v>
      </c>
      <c r="AI327" s="13"/>
      <c r="AJ327" s="13">
        <v>0</v>
      </c>
      <c r="AK327" s="13"/>
      <c r="AL327" s="13">
        <v>0</v>
      </c>
      <c r="AM327" s="13">
        <f>AN327+AO327+AP327+AQ327</f>
        <v>0</v>
      </c>
      <c r="AN327" s="13"/>
      <c r="AO327" s="13">
        <v>0</v>
      </c>
      <c r="AP327" s="13"/>
      <c r="AQ327" s="13">
        <v>0</v>
      </c>
    </row>
    <row r="328" spans="1:43" ht="35.1" customHeight="1">
      <c r="A328" s="87" t="s">
        <v>516</v>
      </c>
      <c r="B328" s="90">
        <v>2800</v>
      </c>
      <c r="C328" s="16" t="s">
        <v>27</v>
      </c>
      <c r="D328" s="16" t="s">
        <v>27</v>
      </c>
      <c r="E328" s="16" t="s">
        <v>27</v>
      </c>
      <c r="F328" s="16"/>
      <c r="G328" s="16"/>
      <c r="H328" s="16"/>
      <c r="I328" s="130" t="s">
        <v>27</v>
      </c>
      <c r="J328" s="16" t="s">
        <v>27</v>
      </c>
      <c r="K328" s="16" t="s">
        <v>27</v>
      </c>
      <c r="L328" s="16" t="s">
        <v>27</v>
      </c>
      <c r="M328" s="20"/>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row>
    <row r="329" spans="1:43" ht="35.1" customHeight="1">
      <c r="A329" s="40"/>
      <c r="B329" s="131">
        <v>2801</v>
      </c>
      <c r="C329" s="19"/>
      <c r="D329" s="20"/>
      <c r="E329" s="20"/>
      <c r="F329" s="20"/>
      <c r="G329" s="20"/>
      <c r="H329" s="20"/>
      <c r="I329" s="116"/>
      <c r="J329" s="20"/>
      <c r="K329" s="20"/>
      <c r="L329" s="20"/>
      <c r="M329" s="16" t="s">
        <v>27</v>
      </c>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row>
    <row r="330" spans="1:43" ht="35.1" customHeight="1">
      <c r="A330" s="11" t="s">
        <v>29</v>
      </c>
      <c r="B330" s="2"/>
      <c r="C330" s="12"/>
      <c r="D330" s="13"/>
      <c r="E330" s="13"/>
      <c r="F330" s="13"/>
      <c r="G330" s="13"/>
      <c r="H330" s="13"/>
      <c r="I330" s="125"/>
      <c r="J330" s="13"/>
      <c r="K330" s="13"/>
      <c r="L330" s="13"/>
      <c r="M330" s="20"/>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row>
    <row r="331" spans="1:43" ht="35.1" customHeight="1">
      <c r="A331" s="132" t="s">
        <v>517</v>
      </c>
      <c r="B331" s="90">
        <v>2802</v>
      </c>
      <c r="C331" s="12"/>
      <c r="D331" s="13"/>
      <c r="E331" s="13"/>
      <c r="F331" s="13"/>
      <c r="G331" s="13"/>
      <c r="H331" s="13"/>
      <c r="I331" s="125"/>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row>
    <row r="332" spans="1:43" ht="35.1" customHeight="1">
      <c r="A332" s="87" t="s">
        <v>518</v>
      </c>
      <c r="B332" s="115">
        <v>2900</v>
      </c>
      <c r="C332" s="9" t="s">
        <v>27</v>
      </c>
      <c r="D332" s="9" t="s">
        <v>27</v>
      </c>
      <c r="E332" s="9" t="s">
        <v>27</v>
      </c>
      <c r="F332" s="9"/>
      <c r="G332" s="9"/>
      <c r="H332" s="9"/>
      <c r="I332" s="123" t="s">
        <v>27</v>
      </c>
      <c r="J332" s="9" t="s">
        <v>27</v>
      </c>
      <c r="K332" s="9" t="s">
        <v>27</v>
      </c>
      <c r="L332" s="9" t="s">
        <v>27</v>
      </c>
      <c r="M332" s="13"/>
      <c r="N332" s="20">
        <f>N334</f>
        <v>529.20000000000005</v>
      </c>
      <c r="O332" s="20">
        <f t="shared" ref="O332:AQ332" si="163">O334</f>
        <v>432.6</v>
      </c>
      <c r="P332" s="20">
        <f t="shared" si="163"/>
        <v>0</v>
      </c>
      <c r="Q332" s="20">
        <f t="shared" si="163"/>
        <v>0</v>
      </c>
      <c r="R332" s="20">
        <f t="shared" si="163"/>
        <v>0</v>
      </c>
      <c r="S332" s="20">
        <f t="shared" si="163"/>
        <v>0</v>
      </c>
      <c r="T332" s="20">
        <f t="shared" si="163"/>
        <v>0</v>
      </c>
      <c r="U332" s="20">
        <f t="shared" si="163"/>
        <v>0</v>
      </c>
      <c r="V332" s="20">
        <f t="shared" si="163"/>
        <v>529.20000000000005</v>
      </c>
      <c r="W332" s="20">
        <f t="shared" si="163"/>
        <v>432.6</v>
      </c>
      <c r="X332" s="20">
        <f t="shared" si="163"/>
        <v>240</v>
      </c>
      <c r="Y332" s="20">
        <f t="shared" si="163"/>
        <v>0</v>
      </c>
      <c r="Z332" s="20">
        <f t="shared" si="163"/>
        <v>0</v>
      </c>
      <c r="AA332" s="20">
        <f t="shared" si="163"/>
        <v>0</v>
      </c>
      <c r="AB332" s="20">
        <f t="shared" si="163"/>
        <v>240</v>
      </c>
      <c r="AC332" s="20">
        <f t="shared" si="163"/>
        <v>240</v>
      </c>
      <c r="AD332" s="20">
        <f t="shared" si="163"/>
        <v>0</v>
      </c>
      <c r="AE332" s="20">
        <f t="shared" si="163"/>
        <v>0</v>
      </c>
      <c r="AF332" s="20">
        <f t="shared" si="163"/>
        <v>0</v>
      </c>
      <c r="AG332" s="20">
        <f t="shared" si="163"/>
        <v>240</v>
      </c>
      <c r="AH332" s="20">
        <f t="shared" si="163"/>
        <v>240</v>
      </c>
      <c r="AI332" s="20">
        <f t="shared" si="163"/>
        <v>0</v>
      </c>
      <c r="AJ332" s="20">
        <f t="shared" si="163"/>
        <v>0</v>
      </c>
      <c r="AK332" s="20">
        <f t="shared" si="163"/>
        <v>0</v>
      </c>
      <c r="AL332" s="20">
        <f t="shared" si="163"/>
        <v>240</v>
      </c>
      <c r="AM332" s="20">
        <f t="shared" si="163"/>
        <v>240</v>
      </c>
      <c r="AN332" s="20">
        <f t="shared" si="163"/>
        <v>0</v>
      </c>
      <c r="AO332" s="20">
        <f t="shared" si="163"/>
        <v>0</v>
      </c>
      <c r="AP332" s="20">
        <f t="shared" si="163"/>
        <v>0</v>
      </c>
      <c r="AQ332" s="20">
        <f t="shared" si="163"/>
        <v>240</v>
      </c>
    </row>
    <row r="333" spans="1:43" ht="35.1" customHeight="1">
      <c r="A333" s="93" t="s">
        <v>29</v>
      </c>
      <c r="B333" s="90">
        <v>2901</v>
      </c>
      <c r="C333" s="12"/>
      <c r="D333" s="13"/>
      <c r="E333" s="13"/>
      <c r="F333" s="13"/>
      <c r="G333" s="13"/>
      <c r="H333" s="13"/>
      <c r="I333" s="125"/>
      <c r="J333" s="13"/>
      <c r="K333" s="13"/>
      <c r="L333" s="13"/>
      <c r="M333" s="9" t="s">
        <v>27</v>
      </c>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c r="AQ333" s="13"/>
    </row>
    <row r="334" spans="1:43" ht="35.1" customHeight="1">
      <c r="A334" s="36" t="s">
        <v>519</v>
      </c>
      <c r="B334" s="131">
        <v>2902</v>
      </c>
      <c r="C334" s="38"/>
      <c r="D334" s="39"/>
      <c r="E334" s="39"/>
      <c r="F334" s="39"/>
      <c r="G334" s="39"/>
      <c r="H334" s="39"/>
      <c r="I334" s="128"/>
      <c r="J334" s="39"/>
      <c r="K334" s="39"/>
      <c r="L334" s="39">
        <v>24</v>
      </c>
      <c r="M334" s="13"/>
      <c r="N334" s="20">
        <f>N336+N337+N335+N338</f>
        <v>529.20000000000005</v>
      </c>
      <c r="O334" s="20">
        <f t="shared" ref="O334:AQ334" si="164">O336+O337+O335+O338</f>
        <v>432.6</v>
      </c>
      <c r="P334" s="20">
        <f t="shared" si="164"/>
        <v>0</v>
      </c>
      <c r="Q334" s="20">
        <f t="shared" si="164"/>
        <v>0</v>
      </c>
      <c r="R334" s="20">
        <f t="shared" si="164"/>
        <v>0</v>
      </c>
      <c r="S334" s="20">
        <f t="shared" si="164"/>
        <v>0</v>
      </c>
      <c r="T334" s="20">
        <f t="shared" si="164"/>
        <v>0</v>
      </c>
      <c r="U334" s="20">
        <f t="shared" si="164"/>
        <v>0</v>
      </c>
      <c r="V334" s="20">
        <f t="shared" si="164"/>
        <v>529.20000000000005</v>
      </c>
      <c r="W334" s="20">
        <f t="shared" si="164"/>
        <v>432.6</v>
      </c>
      <c r="X334" s="20">
        <f t="shared" si="164"/>
        <v>240</v>
      </c>
      <c r="Y334" s="20">
        <f t="shared" si="164"/>
        <v>0</v>
      </c>
      <c r="Z334" s="20">
        <f t="shared" si="164"/>
        <v>0</v>
      </c>
      <c r="AA334" s="20">
        <f t="shared" si="164"/>
        <v>0</v>
      </c>
      <c r="AB334" s="20">
        <f t="shared" si="164"/>
        <v>240</v>
      </c>
      <c r="AC334" s="20">
        <f t="shared" si="164"/>
        <v>240</v>
      </c>
      <c r="AD334" s="20">
        <f t="shared" si="164"/>
        <v>0</v>
      </c>
      <c r="AE334" s="20">
        <f t="shared" si="164"/>
        <v>0</v>
      </c>
      <c r="AF334" s="20">
        <f t="shared" si="164"/>
        <v>0</v>
      </c>
      <c r="AG334" s="20">
        <f t="shared" si="164"/>
        <v>240</v>
      </c>
      <c r="AH334" s="20">
        <f t="shared" si="164"/>
        <v>240</v>
      </c>
      <c r="AI334" s="20">
        <f t="shared" si="164"/>
        <v>0</v>
      </c>
      <c r="AJ334" s="20">
        <f t="shared" si="164"/>
        <v>0</v>
      </c>
      <c r="AK334" s="20">
        <f t="shared" si="164"/>
        <v>0</v>
      </c>
      <c r="AL334" s="20">
        <f t="shared" si="164"/>
        <v>240</v>
      </c>
      <c r="AM334" s="20">
        <f t="shared" si="164"/>
        <v>240</v>
      </c>
      <c r="AN334" s="20">
        <f t="shared" si="164"/>
        <v>0</v>
      </c>
      <c r="AO334" s="20">
        <f t="shared" si="164"/>
        <v>0</v>
      </c>
      <c r="AP334" s="20">
        <f t="shared" si="164"/>
        <v>0</v>
      </c>
      <c r="AQ334" s="20">
        <f t="shared" si="164"/>
        <v>240</v>
      </c>
    </row>
    <row r="335" spans="1:43" ht="35.1" customHeight="1">
      <c r="A335" s="40"/>
      <c r="B335" s="16"/>
      <c r="C335" s="25"/>
      <c r="D335" s="12"/>
      <c r="E335" s="24"/>
      <c r="F335" s="24"/>
      <c r="G335" s="24"/>
      <c r="H335" s="24"/>
      <c r="I335" s="24" t="s">
        <v>520</v>
      </c>
      <c r="J335" s="13" t="s">
        <v>97</v>
      </c>
      <c r="K335" s="24" t="s">
        <v>809</v>
      </c>
      <c r="L335" s="24"/>
      <c r="M335" s="24" t="s">
        <v>521</v>
      </c>
      <c r="N335" s="13">
        <f t="shared" ref="N335:O338" si="165">P335+R335+T335+V335</f>
        <v>100</v>
      </c>
      <c r="O335" s="13">
        <f t="shared" si="165"/>
        <v>22</v>
      </c>
      <c r="P335" s="13"/>
      <c r="Q335" s="13"/>
      <c r="R335" s="13"/>
      <c r="S335" s="13"/>
      <c r="T335" s="13"/>
      <c r="U335" s="13"/>
      <c r="V335" s="13">
        <v>100</v>
      </c>
      <c r="W335" s="13">
        <v>22</v>
      </c>
      <c r="X335" s="13">
        <f t="shared" ref="X335:X338" si="166">Y335+Z335+AA335+AB335</f>
        <v>100</v>
      </c>
      <c r="Y335" s="13"/>
      <c r="Z335" s="13"/>
      <c r="AA335" s="13"/>
      <c r="AB335" s="13">
        <v>100</v>
      </c>
      <c r="AC335" s="13">
        <f t="shared" ref="AC335:AC338" si="167">AD335+AE335+AF335+AG335</f>
        <v>100</v>
      </c>
      <c r="AD335" s="13"/>
      <c r="AE335" s="13"/>
      <c r="AF335" s="13"/>
      <c r="AG335" s="13">
        <v>100</v>
      </c>
      <c r="AH335" s="13">
        <f t="shared" ref="AH335:AH338" si="168">AI335+AJ335+AK335+AL335</f>
        <v>100</v>
      </c>
      <c r="AI335" s="13"/>
      <c r="AJ335" s="13"/>
      <c r="AK335" s="13"/>
      <c r="AL335" s="13">
        <v>100</v>
      </c>
      <c r="AM335" s="13">
        <f t="shared" ref="AM335:AM338" si="169">AN335+AO335+AP335+AQ335</f>
        <v>100</v>
      </c>
      <c r="AN335" s="13"/>
      <c r="AO335" s="13"/>
      <c r="AP335" s="13"/>
      <c r="AQ335" s="13">
        <v>100</v>
      </c>
    </row>
    <row r="336" spans="1:43" ht="35.1" customHeight="1">
      <c r="A336" s="40"/>
      <c r="B336" s="16"/>
      <c r="C336" s="25"/>
      <c r="D336" s="12"/>
      <c r="E336" s="24"/>
      <c r="F336" s="24"/>
      <c r="G336" s="24"/>
      <c r="H336" s="24"/>
      <c r="I336" s="55" t="s">
        <v>522</v>
      </c>
      <c r="J336" s="13" t="s">
        <v>97</v>
      </c>
      <c r="K336" s="24" t="s">
        <v>810</v>
      </c>
      <c r="L336" s="24"/>
      <c r="M336" s="24" t="s">
        <v>523</v>
      </c>
      <c r="N336" s="13">
        <f t="shared" si="165"/>
        <v>90</v>
      </c>
      <c r="O336" s="13">
        <f t="shared" si="165"/>
        <v>80</v>
      </c>
      <c r="P336" s="13"/>
      <c r="Q336" s="13"/>
      <c r="R336" s="13"/>
      <c r="S336" s="13"/>
      <c r="T336" s="13"/>
      <c r="U336" s="13"/>
      <c r="V336" s="13">
        <v>90</v>
      </c>
      <c r="W336" s="13">
        <v>80</v>
      </c>
      <c r="X336" s="13">
        <f t="shared" si="166"/>
        <v>0</v>
      </c>
      <c r="Y336" s="13"/>
      <c r="Z336" s="13"/>
      <c r="AA336" s="13"/>
      <c r="AB336" s="13">
        <v>0</v>
      </c>
      <c r="AC336" s="13">
        <f t="shared" si="167"/>
        <v>0</v>
      </c>
      <c r="AD336" s="13"/>
      <c r="AE336" s="13"/>
      <c r="AF336" s="13"/>
      <c r="AG336" s="13">
        <v>0</v>
      </c>
      <c r="AH336" s="13">
        <f t="shared" si="168"/>
        <v>0</v>
      </c>
      <c r="AI336" s="13"/>
      <c r="AJ336" s="13"/>
      <c r="AK336" s="13"/>
      <c r="AL336" s="13">
        <v>0</v>
      </c>
      <c r="AM336" s="13">
        <f t="shared" si="169"/>
        <v>0</v>
      </c>
      <c r="AN336" s="13"/>
      <c r="AO336" s="13"/>
      <c r="AP336" s="13"/>
      <c r="AQ336" s="13">
        <v>0</v>
      </c>
    </row>
    <row r="337" spans="1:43" ht="35.1" customHeight="1">
      <c r="A337" s="59"/>
      <c r="B337" s="16"/>
      <c r="C337" s="12"/>
      <c r="D337" s="13"/>
      <c r="E337" s="13"/>
      <c r="F337" s="13"/>
      <c r="G337" s="13"/>
      <c r="H337" s="13"/>
      <c r="I337" s="24" t="s">
        <v>520</v>
      </c>
      <c r="J337" s="13" t="s">
        <v>97</v>
      </c>
      <c r="K337" s="24" t="s">
        <v>809</v>
      </c>
      <c r="L337" s="24"/>
      <c r="M337" s="24" t="s">
        <v>524</v>
      </c>
      <c r="N337" s="13">
        <f t="shared" si="165"/>
        <v>139.19999999999999</v>
      </c>
      <c r="O337" s="13">
        <f t="shared" si="165"/>
        <v>130.69999999999999</v>
      </c>
      <c r="P337" s="13"/>
      <c r="Q337" s="13"/>
      <c r="R337" s="13"/>
      <c r="S337" s="13"/>
      <c r="T337" s="13"/>
      <c r="U337" s="13"/>
      <c r="V337" s="13">
        <f>114.2+25</f>
        <v>139.19999999999999</v>
      </c>
      <c r="W337" s="13">
        <v>130.69999999999999</v>
      </c>
      <c r="X337" s="13">
        <f t="shared" si="166"/>
        <v>140</v>
      </c>
      <c r="Y337" s="13"/>
      <c r="Z337" s="13"/>
      <c r="AA337" s="13"/>
      <c r="AB337" s="13">
        <v>140</v>
      </c>
      <c r="AC337" s="13">
        <f t="shared" si="167"/>
        <v>140</v>
      </c>
      <c r="AD337" s="13"/>
      <c r="AE337" s="13"/>
      <c r="AF337" s="13"/>
      <c r="AG337" s="13">
        <v>140</v>
      </c>
      <c r="AH337" s="13">
        <f t="shared" si="168"/>
        <v>140</v>
      </c>
      <c r="AI337" s="13"/>
      <c r="AJ337" s="13"/>
      <c r="AK337" s="13"/>
      <c r="AL337" s="13">
        <v>140</v>
      </c>
      <c r="AM337" s="13">
        <f t="shared" si="169"/>
        <v>140</v>
      </c>
      <c r="AN337" s="13"/>
      <c r="AO337" s="13"/>
      <c r="AP337" s="13"/>
      <c r="AQ337" s="13">
        <v>140</v>
      </c>
    </row>
    <row r="338" spans="1:43" ht="35.1" customHeight="1">
      <c r="A338" s="71"/>
      <c r="B338" s="133"/>
      <c r="C338" s="52"/>
      <c r="D338" s="52"/>
      <c r="E338" s="52"/>
      <c r="F338" s="52"/>
      <c r="G338" s="52"/>
      <c r="H338" s="52"/>
      <c r="I338" s="24" t="s">
        <v>525</v>
      </c>
      <c r="J338" s="13" t="s">
        <v>97</v>
      </c>
      <c r="K338" s="52" t="s">
        <v>811</v>
      </c>
      <c r="L338" s="52"/>
      <c r="M338" s="220" t="s">
        <v>526</v>
      </c>
      <c r="N338" s="13">
        <f t="shared" si="165"/>
        <v>200</v>
      </c>
      <c r="O338" s="13">
        <f t="shared" si="165"/>
        <v>199.9</v>
      </c>
      <c r="P338" s="43"/>
      <c r="Q338" s="43"/>
      <c r="R338" s="43"/>
      <c r="S338" s="43"/>
      <c r="T338" s="43"/>
      <c r="U338" s="43"/>
      <c r="V338" s="43">
        <f>100+100</f>
        <v>200</v>
      </c>
      <c r="W338" s="43">
        <v>199.9</v>
      </c>
      <c r="X338" s="13">
        <f t="shared" si="166"/>
        <v>0</v>
      </c>
      <c r="Y338" s="43"/>
      <c r="Z338" s="43"/>
      <c r="AA338" s="43"/>
      <c r="AB338" s="43">
        <v>0</v>
      </c>
      <c r="AC338" s="13">
        <f t="shared" si="167"/>
        <v>0</v>
      </c>
      <c r="AD338" s="43"/>
      <c r="AE338" s="43"/>
      <c r="AF338" s="43"/>
      <c r="AG338" s="43"/>
      <c r="AH338" s="13">
        <f t="shared" si="168"/>
        <v>0</v>
      </c>
      <c r="AI338" s="43"/>
      <c r="AJ338" s="43"/>
      <c r="AK338" s="43"/>
      <c r="AL338" s="43"/>
      <c r="AM338" s="13">
        <f t="shared" si="169"/>
        <v>0</v>
      </c>
      <c r="AN338" s="43"/>
      <c r="AO338" s="43"/>
      <c r="AP338" s="43"/>
      <c r="AQ338" s="43"/>
    </row>
    <row r="339" spans="1:43" ht="35.1" customHeight="1">
      <c r="A339" s="122"/>
      <c r="B339" s="54">
        <v>3000</v>
      </c>
      <c r="C339" s="203" t="s">
        <v>27</v>
      </c>
      <c r="D339" s="203" t="s">
        <v>27</v>
      </c>
      <c r="E339" s="203" t="s">
        <v>27</v>
      </c>
      <c r="F339" s="203"/>
      <c r="G339" s="203"/>
      <c r="H339" s="203"/>
      <c r="I339" s="134" t="s">
        <v>27</v>
      </c>
      <c r="J339" s="203" t="s">
        <v>27</v>
      </c>
      <c r="K339" s="203" t="s">
        <v>27</v>
      </c>
      <c r="L339" s="203" t="s">
        <v>27</v>
      </c>
      <c r="M339" s="220"/>
      <c r="N339" s="43"/>
      <c r="O339" s="43"/>
      <c r="P339" s="43"/>
      <c r="Q339" s="43"/>
      <c r="R339" s="43"/>
      <c r="S339" s="43"/>
      <c r="T339" s="43"/>
      <c r="U339" s="43"/>
      <c r="V339" s="43"/>
      <c r="W339" s="43"/>
      <c r="X339" s="43"/>
      <c r="Y339" s="43"/>
      <c r="Z339" s="43"/>
      <c r="AA339" s="43"/>
      <c r="AB339" s="43"/>
      <c r="AC339" s="43"/>
      <c r="AD339" s="43"/>
      <c r="AE339" s="43"/>
      <c r="AF339" s="43"/>
      <c r="AG339" s="43"/>
      <c r="AH339" s="43"/>
      <c r="AI339" s="43"/>
      <c r="AJ339" s="43"/>
      <c r="AK339" s="43"/>
      <c r="AL339" s="43"/>
      <c r="AM339" s="43"/>
      <c r="AN339" s="43"/>
      <c r="AO339" s="43"/>
      <c r="AP339" s="43"/>
      <c r="AQ339" s="43"/>
    </row>
    <row r="340" spans="1:43" ht="35.1" customHeight="1">
      <c r="A340" s="135" t="s">
        <v>29</v>
      </c>
      <c r="B340" s="136">
        <v>3001</v>
      </c>
      <c r="C340" s="12"/>
      <c r="D340" s="13"/>
      <c r="E340" s="13"/>
      <c r="F340" s="13"/>
      <c r="G340" s="13"/>
      <c r="H340" s="13"/>
      <c r="I340" s="125"/>
      <c r="J340" s="13"/>
      <c r="K340" s="13"/>
      <c r="L340" s="13"/>
      <c r="M340" s="203" t="s">
        <v>27</v>
      </c>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row>
    <row r="341" spans="1:43" ht="35.1" customHeight="1">
      <c r="A341" s="132" t="s">
        <v>517</v>
      </c>
      <c r="B341" s="54"/>
      <c r="C341" s="12"/>
      <c r="D341" s="13"/>
      <c r="E341" s="13"/>
      <c r="F341" s="13"/>
      <c r="G341" s="13"/>
      <c r="H341" s="13"/>
      <c r="I341" s="125"/>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c r="AQ341" s="13"/>
    </row>
    <row r="342" spans="1:43" ht="35.1" customHeight="1">
      <c r="A342" s="89" t="s">
        <v>517</v>
      </c>
      <c r="B342" s="90">
        <v>3002</v>
      </c>
      <c r="C342" s="12"/>
      <c r="D342" s="13"/>
      <c r="E342" s="13"/>
      <c r="F342" s="13"/>
      <c r="G342" s="13"/>
      <c r="H342" s="13"/>
      <c r="I342" s="125"/>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row>
    <row r="343" spans="1:43" ht="35.1" customHeight="1">
      <c r="A343" s="87" t="s">
        <v>527</v>
      </c>
      <c r="B343" s="115">
        <v>3100</v>
      </c>
      <c r="C343" s="9" t="s">
        <v>27</v>
      </c>
      <c r="D343" s="9" t="s">
        <v>27</v>
      </c>
      <c r="E343" s="9" t="s">
        <v>27</v>
      </c>
      <c r="F343" s="9"/>
      <c r="G343" s="9"/>
      <c r="H343" s="9"/>
      <c r="I343" s="123" t="s">
        <v>27</v>
      </c>
      <c r="J343" s="9" t="s">
        <v>27</v>
      </c>
      <c r="K343" s="9" t="s">
        <v>27</v>
      </c>
      <c r="L343" s="9" t="s">
        <v>27</v>
      </c>
      <c r="M343" s="13"/>
      <c r="N343" s="20">
        <f t="shared" ref="N343:AQ343" si="170">N347+N349+N358+N376+N386+N389+N391+N395+N400+N409+N406+N353</f>
        <v>102708.20000000001</v>
      </c>
      <c r="O343" s="20">
        <f t="shared" si="170"/>
        <v>100991.40000000001</v>
      </c>
      <c r="P343" s="20">
        <f t="shared" si="170"/>
        <v>8570.2000000000007</v>
      </c>
      <c r="Q343" s="20">
        <f t="shared" si="170"/>
        <v>8570.2000000000007</v>
      </c>
      <c r="R343" s="20">
        <f t="shared" si="170"/>
        <v>94138</v>
      </c>
      <c r="S343" s="20">
        <f t="shared" si="170"/>
        <v>92421.2</v>
      </c>
      <c r="T343" s="20">
        <f t="shared" si="170"/>
        <v>0</v>
      </c>
      <c r="U343" s="20">
        <f t="shared" si="170"/>
        <v>0</v>
      </c>
      <c r="V343" s="20">
        <f t="shared" si="170"/>
        <v>0</v>
      </c>
      <c r="W343" s="20">
        <f t="shared" si="170"/>
        <v>0</v>
      </c>
      <c r="X343" s="20">
        <f t="shared" si="170"/>
        <v>76297.600000000006</v>
      </c>
      <c r="Y343" s="20">
        <f t="shared" si="170"/>
        <v>11377.8</v>
      </c>
      <c r="Z343" s="20">
        <f t="shared" si="170"/>
        <v>64919.8</v>
      </c>
      <c r="AA343" s="20">
        <f t="shared" si="170"/>
        <v>0</v>
      </c>
      <c r="AB343" s="20">
        <f t="shared" si="170"/>
        <v>0</v>
      </c>
      <c r="AC343" s="20">
        <f t="shared" si="170"/>
        <v>75423.8</v>
      </c>
      <c r="AD343" s="20">
        <f t="shared" si="170"/>
        <v>11509.5</v>
      </c>
      <c r="AE343" s="20">
        <f t="shared" si="170"/>
        <v>63914.3</v>
      </c>
      <c r="AF343" s="20">
        <f t="shared" si="170"/>
        <v>0</v>
      </c>
      <c r="AG343" s="20">
        <f t="shared" si="170"/>
        <v>0</v>
      </c>
      <c r="AH343" s="20">
        <f t="shared" si="170"/>
        <v>75527.300000000017</v>
      </c>
      <c r="AI343" s="20">
        <f t="shared" si="170"/>
        <v>12910.599999999999</v>
      </c>
      <c r="AJ343" s="20">
        <f t="shared" si="170"/>
        <v>62616.7</v>
      </c>
      <c r="AK343" s="20">
        <f t="shared" si="170"/>
        <v>0</v>
      </c>
      <c r="AL343" s="20">
        <f t="shared" si="170"/>
        <v>0</v>
      </c>
      <c r="AM343" s="20">
        <f t="shared" si="170"/>
        <v>75527.300000000017</v>
      </c>
      <c r="AN343" s="20">
        <f t="shared" si="170"/>
        <v>12910.599999999999</v>
      </c>
      <c r="AO343" s="20">
        <f t="shared" si="170"/>
        <v>62616.7</v>
      </c>
      <c r="AP343" s="20">
        <f t="shared" si="170"/>
        <v>0</v>
      </c>
      <c r="AQ343" s="20">
        <f t="shared" si="170"/>
        <v>0</v>
      </c>
    </row>
    <row r="344" spans="1:43" ht="35.1" customHeight="1">
      <c r="A344" s="89" t="s">
        <v>528</v>
      </c>
      <c r="B344" s="90">
        <v>3101</v>
      </c>
      <c r="C344" s="16" t="s">
        <v>27</v>
      </c>
      <c r="D344" s="16" t="s">
        <v>27</v>
      </c>
      <c r="E344" s="16" t="s">
        <v>27</v>
      </c>
      <c r="F344" s="16"/>
      <c r="G344" s="16"/>
      <c r="H344" s="16"/>
      <c r="I344" s="130" t="s">
        <v>27</v>
      </c>
      <c r="J344" s="16" t="s">
        <v>27</v>
      </c>
      <c r="K344" s="16" t="s">
        <v>27</v>
      </c>
      <c r="L344" s="16" t="s">
        <v>27</v>
      </c>
      <c r="M344" s="9" t="s">
        <v>27</v>
      </c>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row>
    <row r="345" spans="1:43" ht="35.1" customHeight="1">
      <c r="A345" s="11" t="s">
        <v>29</v>
      </c>
      <c r="B345" s="136">
        <v>3102</v>
      </c>
      <c r="C345" s="12"/>
      <c r="D345" s="13"/>
      <c r="E345" s="13"/>
      <c r="F345" s="13"/>
      <c r="G345" s="13"/>
      <c r="H345" s="13"/>
      <c r="I345" s="125"/>
      <c r="J345" s="13"/>
      <c r="K345" s="13"/>
      <c r="L345" s="13"/>
      <c r="M345" s="16" t="s">
        <v>27</v>
      </c>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row>
    <row r="346" spans="1:43" ht="35.1" customHeight="1">
      <c r="A346" s="132" t="s">
        <v>517</v>
      </c>
      <c r="B346" s="54"/>
      <c r="C346" s="12"/>
      <c r="D346" s="13"/>
      <c r="E346" s="13"/>
      <c r="F346" s="13"/>
      <c r="G346" s="13"/>
      <c r="H346" s="13"/>
      <c r="I346" s="125"/>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row>
    <row r="347" spans="1:43" ht="35.1" customHeight="1" thickBot="1">
      <c r="A347" s="17" t="s">
        <v>529</v>
      </c>
      <c r="B347" s="115">
        <v>3103</v>
      </c>
      <c r="C347" s="19"/>
      <c r="D347" s="20"/>
      <c r="E347" s="20"/>
      <c r="F347" s="20"/>
      <c r="G347" s="20"/>
      <c r="H347" s="20"/>
      <c r="I347" s="116"/>
      <c r="J347" s="20"/>
      <c r="K347" s="20"/>
      <c r="L347" s="20"/>
      <c r="M347" s="13"/>
      <c r="N347" s="20">
        <f t="shared" ref="N347:V347" si="171">N348</f>
        <v>4.0999999999999996</v>
      </c>
      <c r="O347" s="20">
        <f t="shared" si="171"/>
        <v>4.0999999999999996</v>
      </c>
      <c r="P347" s="20">
        <f t="shared" si="171"/>
        <v>4.0999999999999996</v>
      </c>
      <c r="Q347" s="20">
        <f t="shared" si="171"/>
        <v>4.0999999999999996</v>
      </c>
      <c r="R347" s="20">
        <f t="shared" si="171"/>
        <v>0</v>
      </c>
      <c r="S347" s="20">
        <f t="shared" si="171"/>
        <v>0</v>
      </c>
      <c r="T347" s="20">
        <f t="shared" si="171"/>
        <v>0</v>
      </c>
      <c r="U347" s="20">
        <f t="shared" si="171"/>
        <v>0</v>
      </c>
      <c r="V347" s="20">
        <f t="shared" si="171"/>
        <v>0</v>
      </c>
      <c r="W347" s="20"/>
      <c r="X347" s="20">
        <f t="shared" ref="X347:AQ347" si="172">X348</f>
        <v>99.9</v>
      </c>
      <c r="Y347" s="20">
        <f t="shared" si="172"/>
        <v>99.9</v>
      </c>
      <c r="Z347" s="20">
        <f t="shared" si="172"/>
        <v>0</v>
      </c>
      <c r="AA347" s="20">
        <f t="shared" si="172"/>
        <v>0</v>
      </c>
      <c r="AB347" s="20">
        <f t="shared" si="172"/>
        <v>0</v>
      </c>
      <c r="AC347" s="20">
        <f t="shared" si="172"/>
        <v>3.5</v>
      </c>
      <c r="AD347" s="20">
        <f t="shared" si="172"/>
        <v>3.5</v>
      </c>
      <c r="AE347" s="20">
        <f t="shared" si="172"/>
        <v>0</v>
      </c>
      <c r="AF347" s="20">
        <f t="shared" si="172"/>
        <v>0</v>
      </c>
      <c r="AG347" s="20">
        <f t="shared" si="172"/>
        <v>0</v>
      </c>
      <c r="AH347" s="20">
        <f t="shared" si="172"/>
        <v>3.8</v>
      </c>
      <c r="AI347" s="20">
        <f t="shared" si="172"/>
        <v>3.8</v>
      </c>
      <c r="AJ347" s="20">
        <f t="shared" si="172"/>
        <v>0</v>
      </c>
      <c r="AK347" s="20">
        <f t="shared" si="172"/>
        <v>0</v>
      </c>
      <c r="AL347" s="20">
        <f t="shared" si="172"/>
        <v>0</v>
      </c>
      <c r="AM347" s="20">
        <f t="shared" si="172"/>
        <v>3.8</v>
      </c>
      <c r="AN347" s="20">
        <f t="shared" si="172"/>
        <v>3.8</v>
      </c>
      <c r="AO347" s="20">
        <f t="shared" si="172"/>
        <v>0</v>
      </c>
      <c r="AP347" s="20">
        <f t="shared" si="172"/>
        <v>0</v>
      </c>
      <c r="AQ347" s="20">
        <f t="shared" si="172"/>
        <v>0</v>
      </c>
    </row>
    <row r="348" spans="1:43" ht="35.1" customHeight="1" thickBot="1">
      <c r="A348" s="14"/>
      <c r="B348" s="90"/>
      <c r="C348" s="23" t="s">
        <v>530</v>
      </c>
      <c r="D348" s="23" t="s">
        <v>119</v>
      </c>
      <c r="E348" s="23" t="s">
        <v>531</v>
      </c>
      <c r="F348" s="23" t="s">
        <v>532</v>
      </c>
      <c r="G348" s="23" t="s">
        <v>35</v>
      </c>
      <c r="H348" s="23" t="s">
        <v>533</v>
      </c>
      <c r="I348" s="125"/>
      <c r="J348" s="13"/>
      <c r="K348" s="13"/>
      <c r="L348" s="13"/>
      <c r="M348" s="24" t="s">
        <v>534</v>
      </c>
      <c r="N348" s="13">
        <f>P348+R348+T348+V348</f>
        <v>4.0999999999999996</v>
      </c>
      <c r="O348" s="13">
        <f>Q348</f>
        <v>4.0999999999999996</v>
      </c>
      <c r="P348" s="13">
        <v>4.0999999999999996</v>
      </c>
      <c r="Q348" s="13">
        <v>4.0999999999999996</v>
      </c>
      <c r="R348" s="13"/>
      <c r="S348" s="13"/>
      <c r="T348" s="13"/>
      <c r="U348" s="13"/>
      <c r="V348" s="13"/>
      <c r="W348" s="13"/>
      <c r="X348" s="13">
        <f>Y348+Z348+AA348+AB348</f>
        <v>99.9</v>
      </c>
      <c r="Y348" s="13">
        <v>99.9</v>
      </c>
      <c r="Z348" s="13"/>
      <c r="AA348" s="13"/>
      <c r="AB348" s="13"/>
      <c r="AC348" s="13">
        <f>AD348+AE348+AF348+AG348</f>
        <v>3.5</v>
      </c>
      <c r="AD348" s="13">
        <v>3.5</v>
      </c>
      <c r="AE348" s="13"/>
      <c r="AF348" s="13"/>
      <c r="AG348" s="13"/>
      <c r="AH348" s="13">
        <f>AI348+AJ348+AK348+AL348</f>
        <v>3.8</v>
      </c>
      <c r="AI348" s="13">
        <v>3.8</v>
      </c>
      <c r="AJ348" s="13"/>
      <c r="AK348" s="13"/>
      <c r="AL348" s="13"/>
      <c r="AM348" s="13">
        <f>AN348+AO348+AP348+AQ348</f>
        <v>3.8</v>
      </c>
      <c r="AN348" s="13">
        <v>3.8</v>
      </c>
      <c r="AO348" s="13"/>
      <c r="AP348" s="13"/>
      <c r="AQ348" s="13"/>
    </row>
    <row r="349" spans="1:43" ht="35.1" customHeight="1">
      <c r="A349" s="36" t="s">
        <v>535</v>
      </c>
      <c r="B349" s="115">
        <v>3104</v>
      </c>
      <c r="C349" s="19"/>
      <c r="D349" s="20"/>
      <c r="E349" s="20"/>
      <c r="F349" s="20"/>
      <c r="G349" s="20"/>
      <c r="H349" s="20"/>
      <c r="I349" s="116"/>
      <c r="J349" s="20"/>
      <c r="K349" s="20"/>
      <c r="L349" s="20"/>
      <c r="N349" s="20">
        <f>N350+N352+N351</f>
        <v>6026.9</v>
      </c>
      <c r="O349" s="20">
        <f>O350+O352+O351</f>
        <v>6026.9</v>
      </c>
      <c r="P349" s="20">
        <f>P350+P352+P351</f>
        <v>6026.9</v>
      </c>
      <c r="Q349" s="20">
        <f>Q350+Q352+Q351</f>
        <v>6026.9</v>
      </c>
      <c r="R349" s="20">
        <f t="shared" ref="R349:W349" si="173">R350+R352</f>
        <v>0</v>
      </c>
      <c r="S349" s="20">
        <f t="shared" si="173"/>
        <v>0</v>
      </c>
      <c r="T349" s="20">
        <f t="shared" si="173"/>
        <v>0</v>
      </c>
      <c r="U349" s="20">
        <f t="shared" si="173"/>
        <v>0</v>
      </c>
      <c r="V349" s="20">
        <f t="shared" si="173"/>
        <v>0</v>
      </c>
      <c r="W349" s="20">
        <f t="shared" si="173"/>
        <v>0</v>
      </c>
      <c r="X349" s="20">
        <f>X350+X352+X351</f>
        <v>5841.1</v>
      </c>
      <c r="Y349" s="20">
        <f>Y350+Y352+Y351</f>
        <v>5841.1</v>
      </c>
      <c r="Z349" s="20">
        <f>Z350+Z352</f>
        <v>0</v>
      </c>
      <c r="AA349" s="20">
        <f>AA350+AA352</f>
        <v>0</v>
      </c>
      <c r="AB349" s="20">
        <f>AB350+AB352</f>
        <v>0</v>
      </c>
      <c r="AC349" s="20">
        <f>AC350+AC352+AC351</f>
        <v>6559.9</v>
      </c>
      <c r="AD349" s="20">
        <f>AD350+AD352+AD351</f>
        <v>6559.9</v>
      </c>
      <c r="AE349" s="20">
        <f>AE350+AE352</f>
        <v>0</v>
      </c>
      <c r="AF349" s="20">
        <f>AF350+AF352</f>
        <v>0</v>
      </c>
      <c r="AG349" s="20">
        <f>AG350+AG352</f>
        <v>0</v>
      </c>
      <c r="AH349" s="20">
        <f>AH350+AH352+AH351</f>
        <v>8467.7999999999993</v>
      </c>
      <c r="AI349" s="20">
        <f>AI350+AI352+AI351</f>
        <v>8467.7999999999993</v>
      </c>
      <c r="AJ349" s="20">
        <f t="shared" ref="AJ349:AQ349" si="174">AJ350+AJ352</f>
        <v>0</v>
      </c>
      <c r="AK349" s="20">
        <f t="shared" si="174"/>
        <v>0</v>
      </c>
      <c r="AL349" s="20">
        <f t="shared" si="174"/>
        <v>0</v>
      </c>
      <c r="AM349" s="20">
        <f>AM350+AM352+AM351</f>
        <v>8467.7999999999993</v>
      </c>
      <c r="AN349" s="20">
        <f>AN350+AN352+AN351</f>
        <v>8467.7999999999993</v>
      </c>
      <c r="AO349" s="20">
        <f t="shared" si="174"/>
        <v>0</v>
      </c>
      <c r="AP349" s="20">
        <f t="shared" si="174"/>
        <v>0</v>
      </c>
      <c r="AQ349" s="20">
        <f t="shared" si="174"/>
        <v>0</v>
      </c>
    </row>
    <row r="350" spans="1:43" ht="35.1" customHeight="1">
      <c r="A350" s="40"/>
      <c r="B350" s="90"/>
      <c r="C350" s="45" t="s">
        <v>536</v>
      </c>
      <c r="D350" s="45" t="s">
        <v>97</v>
      </c>
      <c r="E350" s="45" t="s">
        <v>807</v>
      </c>
      <c r="F350" s="24"/>
      <c r="G350" s="24"/>
      <c r="H350" s="24"/>
      <c r="I350" s="137" t="s">
        <v>537</v>
      </c>
      <c r="J350" s="24" t="s">
        <v>97</v>
      </c>
      <c r="K350" s="24" t="s">
        <v>808</v>
      </c>
      <c r="L350" s="13"/>
      <c r="M350" s="24" t="s">
        <v>538</v>
      </c>
      <c r="N350" s="13">
        <f>P350+R350+T350+V350</f>
        <v>3911.9</v>
      </c>
      <c r="O350" s="13">
        <f>Q350</f>
        <v>3911.9</v>
      </c>
      <c r="P350" s="13">
        <f>3874.9+33.6+3.4</f>
        <v>3911.9</v>
      </c>
      <c r="Q350" s="13">
        <v>3911.9</v>
      </c>
      <c r="R350" s="13"/>
      <c r="S350" s="13"/>
      <c r="T350" s="13"/>
      <c r="U350" s="13"/>
      <c r="V350" s="13"/>
      <c r="W350" s="13"/>
      <c r="X350" s="13">
        <f>Y350+Z350+AA350+AB350</f>
        <v>4409.5</v>
      </c>
      <c r="Y350" s="13">
        <v>4409.5</v>
      </c>
      <c r="Z350" s="13"/>
      <c r="AA350" s="13"/>
      <c r="AB350" s="13"/>
      <c r="AC350" s="13">
        <f>AD350+AE350+AF350+AG350</f>
        <v>4961.5</v>
      </c>
      <c r="AD350" s="13">
        <v>4961.5</v>
      </c>
      <c r="AE350" s="13"/>
      <c r="AF350" s="13"/>
      <c r="AG350" s="13"/>
      <c r="AH350" s="13">
        <f>AI350+AJ350+AK350+AL350</f>
        <v>6426.9</v>
      </c>
      <c r="AI350" s="13">
        <v>6426.9</v>
      </c>
      <c r="AJ350" s="13"/>
      <c r="AK350" s="13"/>
      <c r="AL350" s="13"/>
      <c r="AM350" s="13">
        <f>AN350+AO350+AP350+AQ350</f>
        <v>6426.9</v>
      </c>
      <c r="AN350" s="13">
        <v>6426.9</v>
      </c>
      <c r="AO350" s="13"/>
      <c r="AP350" s="13"/>
      <c r="AQ350" s="13"/>
    </row>
    <row r="351" spans="1:43" ht="35.1" customHeight="1">
      <c r="A351" s="40"/>
      <c r="B351" s="90"/>
      <c r="C351" s="45"/>
      <c r="D351" s="24"/>
      <c r="E351" s="24"/>
      <c r="F351" s="24"/>
      <c r="G351" s="24"/>
      <c r="H351" s="24"/>
      <c r="I351" s="56"/>
      <c r="J351" s="24"/>
      <c r="K351" s="24"/>
      <c r="L351" s="13"/>
      <c r="M351" s="24" t="s">
        <v>539</v>
      </c>
      <c r="N351" s="13">
        <f>P351+R351+T351+V351</f>
        <v>1177</v>
      </c>
      <c r="O351" s="13">
        <f>Q351</f>
        <v>1177</v>
      </c>
      <c r="P351" s="13">
        <f>1170.2+10.2-3.4</f>
        <v>1177</v>
      </c>
      <c r="Q351" s="13">
        <v>1177</v>
      </c>
      <c r="R351" s="13"/>
      <c r="S351" s="13"/>
      <c r="T351" s="13"/>
      <c r="U351" s="13"/>
      <c r="V351" s="13"/>
      <c r="W351" s="13"/>
      <c r="X351" s="13">
        <f>Y351+Z351+AA351+AB351</f>
        <v>1331.6</v>
      </c>
      <c r="Y351" s="13">
        <v>1331.6</v>
      </c>
      <c r="Z351" s="13"/>
      <c r="AA351" s="13"/>
      <c r="AB351" s="13"/>
      <c r="AC351" s="13">
        <f>AD351+AE351+AF351+AG351</f>
        <v>1498.4</v>
      </c>
      <c r="AD351" s="13">
        <v>1498.4</v>
      </c>
      <c r="AE351" s="13"/>
      <c r="AF351" s="13"/>
      <c r="AG351" s="13"/>
      <c r="AH351" s="13">
        <f>AI351+AJ351+AK351+AL351</f>
        <v>1940.9</v>
      </c>
      <c r="AI351" s="13">
        <v>1940.9</v>
      </c>
      <c r="AJ351" s="13"/>
      <c r="AK351" s="13"/>
      <c r="AL351" s="13"/>
      <c r="AM351" s="13">
        <f>AN351+AO351+AP351+AQ351</f>
        <v>1940.9</v>
      </c>
      <c r="AN351" s="13">
        <v>1940.9</v>
      </c>
      <c r="AO351" s="13"/>
      <c r="AP351" s="13"/>
      <c r="AQ351" s="13"/>
    </row>
    <row r="352" spans="1:43" ht="35.1" customHeight="1">
      <c r="A352" s="40"/>
      <c r="B352" s="90"/>
      <c r="C352" s="45"/>
      <c r="D352" s="24"/>
      <c r="E352" s="24"/>
      <c r="F352" s="24"/>
      <c r="G352" s="24"/>
      <c r="H352" s="24"/>
      <c r="I352" s="56"/>
      <c r="J352" s="24"/>
      <c r="K352" s="24"/>
      <c r="L352" s="13"/>
      <c r="M352" s="24" t="s">
        <v>540</v>
      </c>
      <c r="N352" s="13">
        <f>P352+R352+T352+V352</f>
        <v>938</v>
      </c>
      <c r="O352" s="13">
        <f>Q352</f>
        <v>938</v>
      </c>
      <c r="P352" s="13">
        <v>938</v>
      </c>
      <c r="Q352" s="13">
        <v>938</v>
      </c>
      <c r="R352" s="13"/>
      <c r="S352" s="13"/>
      <c r="T352" s="13"/>
      <c r="U352" s="13"/>
      <c r="V352" s="13"/>
      <c r="W352" s="13"/>
      <c r="X352" s="13">
        <f>Y352+Z352+AA352+AB352</f>
        <v>100</v>
      </c>
      <c r="Y352" s="13">
        <v>100</v>
      </c>
      <c r="Z352" s="13"/>
      <c r="AA352" s="13"/>
      <c r="AB352" s="13"/>
      <c r="AC352" s="13">
        <f>AD352+AE352+AF352+AG352</f>
        <v>100</v>
      </c>
      <c r="AD352" s="13">
        <v>100</v>
      </c>
      <c r="AE352" s="13"/>
      <c r="AF352" s="13"/>
      <c r="AG352" s="13"/>
      <c r="AH352" s="13">
        <f>AI352+AJ352+AK352+AL352</f>
        <v>100</v>
      </c>
      <c r="AI352" s="13">
        <v>100</v>
      </c>
      <c r="AJ352" s="13"/>
      <c r="AK352" s="13"/>
      <c r="AL352" s="13"/>
      <c r="AM352" s="13">
        <f>AN352+AO352+AP352+AQ352</f>
        <v>100</v>
      </c>
      <c r="AN352" s="13">
        <v>100</v>
      </c>
      <c r="AO352" s="13"/>
      <c r="AP352" s="13"/>
      <c r="AQ352" s="13"/>
    </row>
    <row r="353" spans="1:43" ht="35.1" customHeight="1">
      <c r="A353" s="87" t="s">
        <v>541</v>
      </c>
      <c r="B353" s="115"/>
      <c r="C353" s="75"/>
      <c r="D353" s="75"/>
      <c r="E353" s="75"/>
      <c r="F353" s="75"/>
      <c r="G353" s="75"/>
      <c r="H353" s="75"/>
      <c r="I353" s="121"/>
      <c r="J353" s="75"/>
      <c r="K353" s="75"/>
      <c r="L353" s="20"/>
      <c r="M353" s="24"/>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row>
    <row r="354" spans="1:43" ht="35.1" customHeight="1">
      <c r="A354" s="138"/>
      <c r="B354" s="90"/>
      <c r="C354" s="24"/>
      <c r="D354" s="24"/>
      <c r="E354" s="24"/>
      <c r="F354" s="24"/>
      <c r="G354" s="24"/>
      <c r="H354" s="24"/>
      <c r="I354" s="137"/>
      <c r="J354" s="24"/>
      <c r="K354" s="24"/>
      <c r="L354" s="13"/>
      <c r="M354" s="75"/>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row>
    <row r="355" spans="1:43" ht="35.1" customHeight="1">
      <c r="A355" s="138"/>
      <c r="B355" s="90"/>
      <c r="C355" s="26"/>
      <c r="D355" s="26"/>
      <c r="E355" s="26"/>
      <c r="F355" s="24"/>
      <c r="G355" s="24"/>
      <c r="H355" s="24"/>
      <c r="I355" s="56"/>
      <c r="J355" s="24"/>
      <c r="K355" s="24"/>
      <c r="L355" s="13"/>
      <c r="M355" s="75"/>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row>
    <row r="356" spans="1:43" ht="35.1" customHeight="1">
      <c r="A356" s="8" t="s">
        <v>542</v>
      </c>
      <c r="B356" s="90">
        <v>3200</v>
      </c>
      <c r="C356" s="16" t="s">
        <v>27</v>
      </c>
      <c r="D356" s="16" t="s">
        <v>27</v>
      </c>
      <c r="E356" s="16" t="s">
        <v>27</v>
      </c>
      <c r="F356" s="16"/>
      <c r="G356" s="16"/>
      <c r="H356" s="16"/>
      <c r="I356" s="130" t="s">
        <v>27</v>
      </c>
      <c r="J356" s="16" t="s">
        <v>27</v>
      </c>
      <c r="K356" s="16" t="s">
        <v>27</v>
      </c>
      <c r="L356" s="16" t="s">
        <v>27</v>
      </c>
      <c r="M356" s="16" t="s">
        <v>27</v>
      </c>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row>
    <row r="357" spans="1:43" ht="35.1" customHeight="1">
      <c r="A357" s="11" t="s">
        <v>29</v>
      </c>
      <c r="B357" s="136">
        <v>3201</v>
      </c>
      <c r="C357" s="12"/>
      <c r="D357" s="13"/>
      <c r="E357" s="13"/>
      <c r="F357" s="13"/>
      <c r="G357" s="13"/>
      <c r="H357" s="13"/>
      <c r="I357" s="125"/>
      <c r="J357" s="13"/>
      <c r="K357" s="13"/>
      <c r="L357" s="13"/>
      <c r="M357" s="24"/>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row>
    <row r="358" spans="1:43" ht="35.1" customHeight="1" thickBot="1">
      <c r="A358" s="17" t="s">
        <v>543</v>
      </c>
      <c r="B358" s="119"/>
      <c r="C358" s="19"/>
      <c r="D358" s="20"/>
      <c r="E358" s="20"/>
      <c r="F358" s="20"/>
      <c r="G358" s="20"/>
      <c r="H358" s="20"/>
      <c r="I358" s="116"/>
      <c r="J358" s="20"/>
      <c r="K358" s="20"/>
      <c r="L358" s="20">
        <v>1</v>
      </c>
      <c r="M358" s="13"/>
      <c r="N358" s="20">
        <f>N359+N360+N361+N362+N363+N364+N372++N373+N374+N375+N366+N365+N369+N370+N371+N367+N368</f>
        <v>3093.3999999999996</v>
      </c>
      <c r="O358" s="20">
        <f t="shared" ref="O358:AQ358" si="175">O359+O360+O361+O362+O363+O364+O372++O373+O374+O375+O366+O365+O369+O370+O371+O367+O368</f>
        <v>2886.3</v>
      </c>
      <c r="P358" s="20">
        <f t="shared" si="175"/>
        <v>0</v>
      </c>
      <c r="Q358" s="20">
        <f t="shared" si="175"/>
        <v>0</v>
      </c>
      <c r="R358" s="20">
        <f t="shared" si="175"/>
        <v>3093.3999999999996</v>
      </c>
      <c r="S358" s="20">
        <f t="shared" si="175"/>
        <v>2886.3</v>
      </c>
      <c r="T358" s="20">
        <f t="shared" si="175"/>
        <v>0</v>
      </c>
      <c r="U358" s="20">
        <f t="shared" si="175"/>
        <v>0</v>
      </c>
      <c r="V358" s="20">
        <f t="shared" si="175"/>
        <v>0</v>
      </c>
      <c r="W358" s="20">
        <f t="shared" si="175"/>
        <v>0</v>
      </c>
      <c r="X358" s="20">
        <f t="shared" si="175"/>
        <v>3719.2000000000003</v>
      </c>
      <c r="Y358" s="20">
        <f t="shared" si="175"/>
        <v>0</v>
      </c>
      <c r="Z358" s="20">
        <f t="shared" si="175"/>
        <v>3719.2000000000003</v>
      </c>
      <c r="AA358" s="20">
        <f t="shared" si="175"/>
        <v>0</v>
      </c>
      <c r="AB358" s="20">
        <f t="shared" si="175"/>
        <v>0</v>
      </c>
      <c r="AC358" s="20">
        <f t="shared" si="175"/>
        <v>3718.7000000000003</v>
      </c>
      <c r="AD358" s="20">
        <f t="shared" si="175"/>
        <v>0</v>
      </c>
      <c r="AE358" s="20">
        <f t="shared" si="175"/>
        <v>3718.7000000000003</v>
      </c>
      <c r="AF358" s="20">
        <f t="shared" si="175"/>
        <v>0</v>
      </c>
      <c r="AG358" s="20">
        <f t="shared" si="175"/>
        <v>0</v>
      </c>
      <c r="AH358" s="20">
        <f t="shared" si="175"/>
        <v>3718.7000000000003</v>
      </c>
      <c r="AI358" s="20">
        <f t="shared" si="175"/>
        <v>0</v>
      </c>
      <c r="AJ358" s="20">
        <f t="shared" si="175"/>
        <v>3718.7000000000003</v>
      </c>
      <c r="AK358" s="20">
        <f t="shared" si="175"/>
        <v>0</v>
      </c>
      <c r="AL358" s="20">
        <f t="shared" si="175"/>
        <v>0</v>
      </c>
      <c r="AM358" s="20">
        <f t="shared" si="175"/>
        <v>3718.7000000000003</v>
      </c>
      <c r="AN358" s="20">
        <f t="shared" si="175"/>
        <v>0</v>
      </c>
      <c r="AO358" s="20">
        <f t="shared" si="175"/>
        <v>3718.7000000000003</v>
      </c>
      <c r="AP358" s="20">
        <f t="shared" si="175"/>
        <v>0</v>
      </c>
      <c r="AQ358" s="20">
        <f t="shared" si="175"/>
        <v>0</v>
      </c>
    </row>
    <row r="359" spans="1:43" ht="35.1" customHeight="1" thickBot="1">
      <c r="A359" s="14"/>
      <c r="B359" s="54"/>
      <c r="C359" s="23" t="s">
        <v>489</v>
      </c>
      <c r="D359" s="23" t="s">
        <v>544</v>
      </c>
      <c r="E359" s="23" t="s">
        <v>491</v>
      </c>
      <c r="F359" s="23" t="s">
        <v>545</v>
      </c>
      <c r="G359" s="23" t="s">
        <v>35</v>
      </c>
      <c r="H359" s="23" t="s">
        <v>546</v>
      </c>
      <c r="I359" s="45" t="s">
        <v>547</v>
      </c>
      <c r="J359" s="13" t="s">
        <v>97</v>
      </c>
      <c r="K359" s="24" t="s">
        <v>803</v>
      </c>
      <c r="L359" s="13"/>
      <c r="M359" s="24" t="s">
        <v>548</v>
      </c>
      <c r="N359" s="13">
        <f t="shared" ref="N359:N365" si="176">P359+R359+T359+V359</f>
        <v>18.2</v>
      </c>
      <c r="O359" s="13">
        <f>Q359+S359</f>
        <v>18.2</v>
      </c>
      <c r="P359" s="13"/>
      <c r="Q359" s="13"/>
      <c r="R359" s="13">
        <f>15.5+2.7</f>
        <v>18.2</v>
      </c>
      <c r="S359" s="13">
        <v>18.2</v>
      </c>
      <c r="T359" s="13"/>
      <c r="U359" s="13"/>
      <c r="V359" s="13"/>
      <c r="W359" s="13"/>
      <c r="X359" s="13">
        <f>Y359+Z359+AA359+AB359</f>
        <v>21</v>
      </c>
      <c r="Y359" s="13"/>
      <c r="Z359" s="13">
        <v>21</v>
      </c>
      <c r="AA359" s="13"/>
      <c r="AB359" s="13"/>
      <c r="AC359" s="13">
        <f>AD359+AE359+AF359+AG359</f>
        <v>21</v>
      </c>
      <c r="AD359" s="13"/>
      <c r="AE359" s="13">
        <v>21</v>
      </c>
      <c r="AF359" s="13"/>
      <c r="AG359" s="13"/>
      <c r="AH359" s="13">
        <f>AI359+AJ359+AK359+AL359</f>
        <v>21</v>
      </c>
      <c r="AI359" s="13"/>
      <c r="AJ359" s="13">
        <v>21</v>
      </c>
      <c r="AK359" s="13"/>
      <c r="AL359" s="13"/>
      <c r="AM359" s="13">
        <f>AN359+AO359+AP359+AQ359</f>
        <v>21</v>
      </c>
      <c r="AN359" s="13"/>
      <c r="AO359" s="13">
        <v>21</v>
      </c>
      <c r="AP359" s="13"/>
      <c r="AQ359" s="13"/>
    </row>
    <row r="360" spans="1:43" ht="35.1" customHeight="1" thickBot="1">
      <c r="A360" s="14"/>
      <c r="B360" s="54"/>
      <c r="C360" s="12"/>
      <c r="D360" s="13"/>
      <c r="E360" s="13"/>
      <c r="F360" s="24"/>
      <c r="G360" s="13"/>
      <c r="H360" s="13"/>
      <c r="I360" s="139"/>
      <c r="J360" s="13"/>
      <c r="K360" s="13"/>
      <c r="L360" s="13"/>
      <c r="M360" s="24" t="s">
        <v>549</v>
      </c>
      <c r="N360" s="13">
        <f t="shared" si="176"/>
        <v>2.5</v>
      </c>
      <c r="O360" s="13">
        <f t="shared" ref="O360:O375" si="177">Q360+S360</f>
        <v>2.5</v>
      </c>
      <c r="P360" s="13"/>
      <c r="Q360" s="13"/>
      <c r="R360" s="13">
        <v>2.5</v>
      </c>
      <c r="S360" s="13">
        <v>2.5</v>
      </c>
      <c r="T360" s="13"/>
      <c r="U360" s="13"/>
      <c r="V360" s="13"/>
      <c r="W360" s="13"/>
      <c r="X360" s="13">
        <f t="shared" ref="X360:X365" si="178">Y360+Z360+AA360+AB360</f>
        <v>2.7</v>
      </c>
      <c r="Y360" s="13"/>
      <c r="Z360" s="13">
        <v>2.7</v>
      </c>
      <c r="AA360" s="13"/>
      <c r="AB360" s="13"/>
      <c r="AC360" s="13">
        <f t="shared" ref="AC360:AC365" si="179">AD360+AE360+AF360+AG360</f>
        <v>2.7</v>
      </c>
      <c r="AD360" s="13"/>
      <c r="AE360" s="13">
        <v>2.7</v>
      </c>
      <c r="AF360" s="13"/>
      <c r="AG360" s="13"/>
      <c r="AH360" s="13">
        <f t="shared" ref="AH360:AH375" si="180">AI360+AJ360+AK360+AL360</f>
        <v>2.7</v>
      </c>
      <c r="AI360" s="13"/>
      <c r="AJ360" s="13">
        <v>2.7</v>
      </c>
      <c r="AK360" s="13"/>
      <c r="AL360" s="13"/>
      <c r="AM360" s="13">
        <f t="shared" ref="AM360:AM365" si="181">AN360+AO360+AP360+AQ360</f>
        <v>2.7</v>
      </c>
      <c r="AN360" s="13"/>
      <c r="AO360" s="13">
        <v>2.7</v>
      </c>
      <c r="AP360" s="13"/>
      <c r="AQ360" s="13"/>
    </row>
    <row r="361" spans="1:43" ht="35.1" customHeight="1" thickBot="1">
      <c r="A361" s="14"/>
      <c r="B361" s="54"/>
      <c r="C361" s="23" t="s">
        <v>489</v>
      </c>
      <c r="D361" s="23" t="s">
        <v>550</v>
      </c>
      <c r="E361" s="23" t="s">
        <v>491</v>
      </c>
      <c r="F361" s="23" t="s">
        <v>551</v>
      </c>
      <c r="G361" s="23" t="s">
        <v>35</v>
      </c>
      <c r="H361" s="23" t="s">
        <v>552</v>
      </c>
      <c r="I361" s="137" t="s">
        <v>553</v>
      </c>
      <c r="J361" s="13" t="s">
        <v>97</v>
      </c>
      <c r="K361" s="24" t="s">
        <v>804</v>
      </c>
      <c r="L361" s="13"/>
      <c r="M361" s="24" t="s">
        <v>554</v>
      </c>
      <c r="N361" s="13">
        <f t="shared" si="176"/>
        <v>259.8</v>
      </c>
      <c r="O361" s="13">
        <f t="shared" si="177"/>
        <v>248.6</v>
      </c>
      <c r="P361" s="13"/>
      <c r="Q361" s="13"/>
      <c r="R361" s="13">
        <f>220.9+38.9</f>
        <v>259.8</v>
      </c>
      <c r="S361" s="13">
        <v>248.6</v>
      </c>
      <c r="T361" s="13"/>
      <c r="U361" s="13"/>
      <c r="V361" s="13"/>
      <c r="W361" s="13"/>
      <c r="X361" s="13">
        <f t="shared" si="178"/>
        <v>309.2</v>
      </c>
      <c r="Y361" s="13"/>
      <c r="Z361" s="13">
        <v>309.2</v>
      </c>
      <c r="AA361" s="13"/>
      <c r="AB361" s="13"/>
      <c r="AC361" s="13">
        <f t="shared" si="179"/>
        <v>309.2</v>
      </c>
      <c r="AD361" s="13"/>
      <c r="AE361" s="13">
        <v>309.2</v>
      </c>
      <c r="AF361" s="13"/>
      <c r="AG361" s="13"/>
      <c r="AH361" s="13">
        <f t="shared" si="180"/>
        <v>309.2</v>
      </c>
      <c r="AI361" s="13"/>
      <c r="AJ361" s="13">
        <v>309.2</v>
      </c>
      <c r="AK361" s="13"/>
      <c r="AL361" s="13"/>
      <c r="AM361" s="13">
        <f t="shared" si="181"/>
        <v>309.2</v>
      </c>
      <c r="AN361" s="13"/>
      <c r="AO361" s="13">
        <v>309.2</v>
      </c>
      <c r="AP361" s="13"/>
      <c r="AQ361" s="13"/>
    </row>
    <row r="362" spans="1:43" ht="35.1" customHeight="1" thickBot="1">
      <c r="A362" s="14"/>
      <c r="B362" s="54"/>
      <c r="C362" s="12"/>
      <c r="D362" s="13"/>
      <c r="E362" s="13"/>
      <c r="F362" s="23" t="s">
        <v>555</v>
      </c>
      <c r="G362" s="23" t="s">
        <v>35</v>
      </c>
      <c r="H362" s="23" t="s">
        <v>556</v>
      </c>
      <c r="I362" s="137"/>
      <c r="J362" s="13"/>
      <c r="K362" s="13"/>
      <c r="L362" s="13"/>
      <c r="M362" s="24" t="s">
        <v>557</v>
      </c>
      <c r="N362" s="13">
        <f t="shared" si="176"/>
        <v>50.8</v>
      </c>
      <c r="O362" s="13">
        <f t="shared" si="177"/>
        <v>10.4</v>
      </c>
      <c r="P362" s="13"/>
      <c r="Q362" s="13"/>
      <c r="R362" s="13">
        <v>50.8</v>
      </c>
      <c r="S362" s="13">
        <v>10.4</v>
      </c>
      <c r="T362" s="13"/>
      <c r="U362" s="13"/>
      <c r="V362" s="13"/>
      <c r="W362" s="13"/>
      <c r="X362" s="13">
        <f t="shared" si="178"/>
        <v>53.3</v>
      </c>
      <c r="Y362" s="13"/>
      <c r="Z362" s="13">
        <v>53.3</v>
      </c>
      <c r="AA362" s="13"/>
      <c r="AB362" s="13"/>
      <c r="AC362" s="13">
        <f t="shared" si="179"/>
        <v>53.3</v>
      </c>
      <c r="AD362" s="13"/>
      <c r="AE362" s="13">
        <v>53.3</v>
      </c>
      <c r="AF362" s="13"/>
      <c r="AG362" s="13"/>
      <c r="AH362" s="13">
        <f t="shared" si="180"/>
        <v>53.3</v>
      </c>
      <c r="AI362" s="13"/>
      <c r="AJ362" s="13">
        <v>53.3</v>
      </c>
      <c r="AK362" s="13"/>
      <c r="AL362" s="13"/>
      <c r="AM362" s="13">
        <f t="shared" si="181"/>
        <v>53.3</v>
      </c>
      <c r="AN362" s="13"/>
      <c r="AO362" s="13">
        <v>53.3</v>
      </c>
      <c r="AP362" s="13"/>
      <c r="AQ362" s="13"/>
    </row>
    <row r="363" spans="1:43" ht="35.1" customHeight="1" thickBot="1">
      <c r="A363" s="14"/>
      <c r="B363" s="54"/>
      <c r="C363" s="23" t="s">
        <v>489</v>
      </c>
      <c r="D363" s="23" t="s">
        <v>558</v>
      </c>
      <c r="E363" s="23" t="s">
        <v>491</v>
      </c>
      <c r="F363" s="23" t="s">
        <v>559</v>
      </c>
      <c r="G363" s="23" t="s">
        <v>35</v>
      </c>
      <c r="H363" s="23" t="s">
        <v>560</v>
      </c>
      <c r="I363" s="45" t="s">
        <v>561</v>
      </c>
      <c r="J363" s="13" t="s">
        <v>806</v>
      </c>
      <c r="K363" s="24" t="s">
        <v>805</v>
      </c>
      <c r="L363" s="13"/>
      <c r="M363" s="56" t="s">
        <v>562</v>
      </c>
      <c r="N363" s="13">
        <f t="shared" si="176"/>
        <v>347</v>
      </c>
      <c r="O363" s="13">
        <f t="shared" si="177"/>
        <v>277.39999999999998</v>
      </c>
      <c r="P363" s="13"/>
      <c r="Q363" s="13"/>
      <c r="R363" s="13">
        <f>220.9+38.9+87.2</f>
        <v>347</v>
      </c>
      <c r="S363" s="13">
        <v>277.39999999999998</v>
      </c>
      <c r="T363" s="13"/>
      <c r="U363" s="13"/>
      <c r="V363" s="13"/>
      <c r="W363" s="13"/>
      <c r="X363" s="13">
        <f t="shared" si="178"/>
        <v>618.29999999999995</v>
      </c>
      <c r="Y363" s="13"/>
      <c r="Z363" s="13">
        <v>618.29999999999995</v>
      </c>
      <c r="AA363" s="13"/>
      <c r="AB363" s="13"/>
      <c r="AC363" s="13">
        <f t="shared" si="179"/>
        <v>618.29999999999995</v>
      </c>
      <c r="AD363" s="13"/>
      <c r="AE363" s="13">
        <v>618.29999999999995</v>
      </c>
      <c r="AF363" s="13"/>
      <c r="AG363" s="13"/>
      <c r="AH363" s="13">
        <f t="shared" si="180"/>
        <v>618.29999999999995</v>
      </c>
      <c r="AI363" s="13"/>
      <c r="AJ363" s="13">
        <v>618.29999999999995</v>
      </c>
      <c r="AK363" s="13"/>
      <c r="AL363" s="13"/>
      <c r="AM363" s="13">
        <f t="shared" si="181"/>
        <v>618.29999999999995</v>
      </c>
      <c r="AN363" s="13"/>
      <c r="AO363" s="13">
        <v>618.29999999999995</v>
      </c>
      <c r="AP363" s="13"/>
      <c r="AQ363" s="13"/>
    </row>
    <row r="364" spans="1:43" ht="35.1" customHeight="1" thickBot="1">
      <c r="A364" s="14"/>
      <c r="B364" s="54"/>
      <c r="C364" s="12"/>
      <c r="D364" s="13"/>
      <c r="E364" s="13"/>
      <c r="F364" s="23" t="s">
        <v>563</v>
      </c>
      <c r="G364" s="23" t="s">
        <v>35</v>
      </c>
      <c r="H364" s="23" t="s">
        <v>564</v>
      </c>
      <c r="I364" s="45"/>
      <c r="J364" s="13"/>
      <c r="K364" s="24"/>
      <c r="L364" s="13"/>
      <c r="M364" s="56" t="s">
        <v>565</v>
      </c>
      <c r="N364" s="13">
        <f t="shared" si="176"/>
        <v>71.2</v>
      </c>
      <c r="O364" s="13">
        <f t="shared" si="177"/>
        <v>71.2</v>
      </c>
      <c r="P364" s="13"/>
      <c r="Q364" s="13"/>
      <c r="R364" s="13">
        <v>71.2</v>
      </c>
      <c r="S364" s="13">
        <v>71.2</v>
      </c>
      <c r="T364" s="13"/>
      <c r="U364" s="13"/>
      <c r="V364" s="13"/>
      <c r="W364" s="13"/>
      <c r="X364" s="13">
        <f t="shared" si="178"/>
        <v>84.5</v>
      </c>
      <c r="Y364" s="13"/>
      <c r="Z364" s="13">
        <v>84.5</v>
      </c>
      <c r="AA364" s="13"/>
      <c r="AB364" s="13"/>
      <c r="AC364" s="13">
        <f t="shared" si="179"/>
        <v>84.5</v>
      </c>
      <c r="AD364" s="13"/>
      <c r="AE364" s="13">
        <v>84.5</v>
      </c>
      <c r="AF364" s="13"/>
      <c r="AG364" s="13"/>
      <c r="AH364" s="13">
        <f t="shared" si="180"/>
        <v>84.5</v>
      </c>
      <c r="AI364" s="13"/>
      <c r="AJ364" s="13">
        <v>84.5</v>
      </c>
      <c r="AK364" s="13"/>
      <c r="AL364" s="13"/>
      <c r="AM364" s="13">
        <f t="shared" si="181"/>
        <v>84.5</v>
      </c>
      <c r="AN364" s="13"/>
      <c r="AO364" s="13">
        <v>84.5</v>
      </c>
      <c r="AP364" s="13"/>
      <c r="AQ364" s="13"/>
    </row>
    <row r="365" spans="1:43" ht="35.1" customHeight="1" thickBot="1">
      <c r="A365" s="14"/>
      <c r="B365" s="140"/>
      <c r="C365" s="23"/>
      <c r="D365" s="23"/>
      <c r="E365" s="23"/>
      <c r="F365" s="23" t="s">
        <v>566</v>
      </c>
      <c r="G365" s="23" t="s">
        <v>67</v>
      </c>
      <c r="H365" s="23" t="s">
        <v>567</v>
      </c>
      <c r="I365" s="24"/>
      <c r="J365" s="13"/>
      <c r="K365" s="24"/>
      <c r="L365" s="13"/>
      <c r="M365" s="56" t="s">
        <v>568</v>
      </c>
      <c r="N365" s="13">
        <f t="shared" si="176"/>
        <v>259.8</v>
      </c>
      <c r="O365" s="13">
        <f t="shared" si="177"/>
        <v>243.9</v>
      </c>
      <c r="P365" s="13"/>
      <c r="Q365" s="13"/>
      <c r="R365" s="13">
        <f>220.9+38.9</f>
        <v>259.8</v>
      </c>
      <c r="S365" s="13">
        <v>243.9</v>
      </c>
      <c r="T365" s="13"/>
      <c r="U365" s="13"/>
      <c r="V365" s="13"/>
      <c r="W365" s="13"/>
      <c r="X365" s="13">
        <f t="shared" si="178"/>
        <v>309.10000000000002</v>
      </c>
      <c r="Y365" s="13"/>
      <c r="Z365" s="13">
        <v>309.10000000000002</v>
      </c>
      <c r="AA365" s="13"/>
      <c r="AB365" s="13"/>
      <c r="AC365" s="13">
        <f t="shared" si="179"/>
        <v>309.10000000000002</v>
      </c>
      <c r="AD365" s="13"/>
      <c r="AE365" s="13">
        <v>309.10000000000002</v>
      </c>
      <c r="AF365" s="13"/>
      <c r="AG365" s="13"/>
      <c r="AH365" s="13">
        <f t="shared" si="180"/>
        <v>309.10000000000002</v>
      </c>
      <c r="AI365" s="13"/>
      <c r="AJ365" s="13">
        <v>309.10000000000002</v>
      </c>
      <c r="AK365" s="13"/>
      <c r="AL365" s="13"/>
      <c r="AM365" s="13">
        <f t="shared" si="181"/>
        <v>309.10000000000002</v>
      </c>
      <c r="AN365" s="13"/>
      <c r="AO365" s="13">
        <v>309.10000000000002</v>
      </c>
      <c r="AP365" s="13"/>
      <c r="AQ365" s="13"/>
    </row>
    <row r="366" spans="1:43" ht="35.1" customHeight="1" thickBot="1">
      <c r="A366" s="14"/>
      <c r="B366" s="22"/>
      <c r="C366" s="26"/>
      <c r="D366" s="26"/>
      <c r="E366" s="26"/>
      <c r="F366" s="141"/>
      <c r="G366" s="26"/>
      <c r="H366" s="26"/>
      <c r="I366" s="26"/>
      <c r="J366" s="228"/>
      <c r="K366" s="26"/>
      <c r="L366" s="13"/>
      <c r="M366" s="56" t="s">
        <v>569</v>
      </c>
      <c r="N366" s="13">
        <f>R366</f>
        <v>77</v>
      </c>
      <c r="O366" s="13">
        <f t="shared" si="177"/>
        <v>77</v>
      </c>
      <c r="P366" s="13"/>
      <c r="Q366" s="13"/>
      <c r="R366" s="13">
        <v>77</v>
      </c>
      <c r="S366" s="13">
        <v>77</v>
      </c>
      <c r="T366" s="13"/>
      <c r="U366" s="13"/>
      <c r="V366" s="13"/>
      <c r="W366" s="13"/>
      <c r="X366" s="13">
        <f>Z366</f>
        <v>81.8</v>
      </c>
      <c r="Y366" s="13"/>
      <c r="Z366" s="13">
        <v>81.8</v>
      </c>
      <c r="AA366" s="13"/>
      <c r="AB366" s="13"/>
      <c r="AC366" s="13">
        <f>AE366</f>
        <v>81.8</v>
      </c>
      <c r="AD366" s="13"/>
      <c r="AE366" s="13">
        <v>81.8</v>
      </c>
      <c r="AF366" s="13"/>
      <c r="AG366" s="13"/>
      <c r="AH366" s="13">
        <f>AJ366</f>
        <v>81.8</v>
      </c>
      <c r="AI366" s="13"/>
      <c r="AJ366" s="13">
        <v>81.8</v>
      </c>
      <c r="AK366" s="13"/>
      <c r="AL366" s="13"/>
      <c r="AM366" s="13">
        <f>AO366</f>
        <v>81.8</v>
      </c>
      <c r="AN366" s="13"/>
      <c r="AO366" s="13">
        <v>81.8</v>
      </c>
      <c r="AP366" s="13"/>
      <c r="AQ366" s="13"/>
    </row>
    <row r="367" spans="1:43" ht="35.1" customHeight="1">
      <c r="A367" s="40"/>
      <c r="B367" s="61"/>
      <c r="C367" s="12"/>
      <c r="D367" s="13"/>
      <c r="E367" s="13"/>
      <c r="F367" s="24" t="s">
        <v>802</v>
      </c>
      <c r="G367" s="24" t="s">
        <v>97</v>
      </c>
      <c r="H367" s="24" t="s">
        <v>801</v>
      </c>
      <c r="I367" s="24"/>
      <c r="J367" s="13"/>
      <c r="K367" s="13"/>
      <c r="L367" s="13"/>
      <c r="M367" s="56" t="s">
        <v>570</v>
      </c>
      <c r="N367" s="13">
        <f>P367+R367+T367+V367</f>
        <v>111.7</v>
      </c>
      <c r="O367" s="13">
        <f t="shared" si="177"/>
        <v>111.7</v>
      </c>
      <c r="P367" s="13"/>
      <c r="Q367" s="13"/>
      <c r="R367" s="13">
        <f>95+16.7</f>
        <v>111.7</v>
      </c>
      <c r="S367" s="13">
        <v>111.7</v>
      </c>
      <c r="T367" s="13"/>
      <c r="U367" s="13"/>
      <c r="V367" s="13"/>
      <c r="W367" s="13"/>
      <c r="X367" s="13">
        <f>Y367+Z367+AA367+AB367</f>
        <v>92.7</v>
      </c>
      <c r="Y367" s="13"/>
      <c r="Z367" s="13">
        <v>92.7</v>
      </c>
      <c r="AA367" s="13"/>
      <c r="AB367" s="13"/>
      <c r="AC367" s="13">
        <f>AD367+AE367+AF367+AG367</f>
        <v>92.7</v>
      </c>
      <c r="AD367" s="13"/>
      <c r="AE367" s="13">
        <v>92.7</v>
      </c>
      <c r="AF367" s="13"/>
      <c r="AG367" s="13"/>
      <c r="AH367" s="13">
        <f>AI367+AJ367+AK367+AL367</f>
        <v>92.7</v>
      </c>
      <c r="AI367" s="13"/>
      <c r="AJ367" s="13">
        <v>92.7</v>
      </c>
      <c r="AK367" s="13"/>
      <c r="AL367" s="13"/>
      <c r="AM367" s="13">
        <f>AN367+AO367+AP367+AQ367</f>
        <v>92.7</v>
      </c>
      <c r="AN367" s="13"/>
      <c r="AO367" s="13">
        <v>92.7</v>
      </c>
      <c r="AP367" s="13"/>
      <c r="AQ367" s="13"/>
    </row>
    <row r="368" spans="1:43" ht="35.1" customHeight="1">
      <c r="A368" s="40"/>
      <c r="B368" s="61"/>
      <c r="C368" s="12"/>
      <c r="D368" s="13"/>
      <c r="E368" s="13"/>
      <c r="F368" s="24"/>
      <c r="G368" s="24"/>
      <c r="H368" s="24"/>
      <c r="I368" s="24"/>
      <c r="J368" s="13"/>
      <c r="K368" s="13"/>
      <c r="L368" s="13"/>
      <c r="M368" s="56" t="s">
        <v>571</v>
      </c>
      <c r="N368" s="13">
        <f>P368+R368+T368+V368</f>
        <v>12.5</v>
      </c>
      <c r="O368" s="13">
        <f t="shared" si="177"/>
        <v>12.5</v>
      </c>
      <c r="P368" s="13"/>
      <c r="Q368" s="13"/>
      <c r="R368" s="13">
        <v>12.5</v>
      </c>
      <c r="S368" s="13">
        <v>12.5</v>
      </c>
      <c r="T368" s="13"/>
      <c r="U368" s="13"/>
      <c r="V368" s="13"/>
      <c r="W368" s="13"/>
      <c r="X368" s="13">
        <f>Y368+Z368+AA368+AB368</f>
        <v>8.8000000000000007</v>
      </c>
      <c r="Y368" s="13"/>
      <c r="Z368" s="13">
        <v>8.8000000000000007</v>
      </c>
      <c r="AA368" s="13"/>
      <c r="AB368" s="13"/>
      <c r="AC368" s="13">
        <f>AD368+AE368+AF368+AG368</f>
        <v>8.3000000000000007</v>
      </c>
      <c r="AD368" s="13"/>
      <c r="AE368" s="13">
        <v>8.3000000000000007</v>
      </c>
      <c r="AF368" s="13"/>
      <c r="AG368" s="13"/>
      <c r="AH368" s="13">
        <f>AI368+AJ368+AK368+AL368</f>
        <v>8.3000000000000007</v>
      </c>
      <c r="AI368" s="13"/>
      <c r="AJ368" s="13">
        <v>8.3000000000000007</v>
      </c>
      <c r="AK368" s="13"/>
      <c r="AL368" s="13"/>
      <c r="AM368" s="13">
        <f>AN368+AO368+AP368+AQ368</f>
        <v>8.3000000000000007</v>
      </c>
      <c r="AN368" s="13"/>
      <c r="AO368" s="13">
        <v>8.3000000000000007</v>
      </c>
      <c r="AP368" s="13"/>
      <c r="AQ368" s="13"/>
    </row>
    <row r="369" spans="1:43" ht="35.1" customHeight="1" thickBot="1">
      <c r="A369" s="14"/>
      <c r="B369" s="41"/>
      <c r="C369" s="26" t="s">
        <v>583</v>
      </c>
      <c r="D369" s="228" t="s">
        <v>147</v>
      </c>
      <c r="E369" s="228" t="s">
        <v>584</v>
      </c>
      <c r="F369" s="26" t="s">
        <v>791</v>
      </c>
      <c r="G369" s="69" t="s">
        <v>35</v>
      </c>
      <c r="H369" s="69" t="s">
        <v>792</v>
      </c>
      <c r="I369" s="26" t="s">
        <v>585</v>
      </c>
      <c r="J369" s="228" t="s">
        <v>147</v>
      </c>
      <c r="K369" s="26" t="s">
        <v>793</v>
      </c>
      <c r="L369" s="13"/>
      <c r="M369" s="56" t="s">
        <v>572</v>
      </c>
      <c r="N369" s="13">
        <f>R369</f>
        <v>26.9</v>
      </c>
      <c r="O369" s="13">
        <f t="shared" si="177"/>
        <v>26.9</v>
      </c>
      <c r="P369" s="13"/>
      <c r="Q369" s="13"/>
      <c r="R369" s="13">
        <f>15.1+8.8+3</f>
        <v>26.9</v>
      </c>
      <c r="S369" s="13">
        <v>26.9</v>
      </c>
      <c r="T369" s="13"/>
      <c r="U369" s="13"/>
      <c r="V369" s="13"/>
      <c r="W369" s="13"/>
      <c r="X369" s="13">
        <f>Z369</f>
        <v>29</v>
      </c>
      <c r="Y369" s="13"/>
      <c r="Z369" s="13">
        <v>29</v>
      </c>
      <c r="AA369" s="13"/>
      <c r="AB369" s="13"/>
      <c r="AC369" s="13">
        <f>AE369</f>
        <v>29</v>
      </c>
      <c r="AD369" s="13"/>
      <c r="AE369" s="13">
        <v>29</v>
      </c>
      <c r="AF369" s="13"/>
      <c r="AG369" s="13"/>
      <c r="AH369" s="13">
        <f>AJ369</f>
        <v>29</v>
      </c>
      <c r="AI369" s="13"/>
      <c r="AJ369" s="13">
        <v>29</v>
      </c>
      <c r="AK369" s="13"/>
      <c r="AL369" s="13"/>
      <c r="AM369" s="13">
        <f>AO369</f>
        <v>29</v>
      </c>
      <c r="AN369" s="13"/>
      <c r="AO369" s="13">
        <v>29</v>
      </c>
      <c r="AP369" s="13"/>
      <c r="AQ369" s="13"/>
    </row>
    <row r="370" spans="1:43" ht="35.1" customHeight="1" thickBot="1">
      <c r="A370" s="14"/>
      <c r="B370" s="41"/>
      <c r="C370" s="252"/>
      <c r="D370" s="252"/>
      <c r="E370" s="252"/>
      <c r="F370" s="252"/>
      <c r="G370" s="252"/>
      <c r="H370" s="252"/>
      <c r="I370" s="252"/>
      <c r="J370" s="252"/>
      <c r="K370" s="252"/>
      <c r="L370" s="13"/>
      <c r="M370" s="56" t="s">
        <v>573</v>
      </c>
      <c r="N370" s="13">
        <f>R370</f>
        <v>38.599999999999994</v>
      </c>
      <c r="O370" s="13">
        <f t="shared" si="177"/>
        <v>38</v>
      </c>
      <c r="P370" s="13"/>
      <c r="Q370" s="13"/>
      <c r="R370" s="13">
        <f>35.3+3.3</f>
        <v>38.599999999999994</v>
      </c>
      <c r="S370" s="13">
        <v>38</v>
      </c>
      <c r="T370" s="13"/>
      <c r="U370" s="13"/>
      <c r="V370" s="13"/>
      <c r="W370" s="13"/>
      <c r="X370" s="13">
        <f>Z370</f>
        <v>43</v>
      </c>
      <c r="Y370" s="13"/>
      <c r="Z370" s="13">
        <v>43</v>
      </c>
      <c r="AA370" s="13"/>
      <c r="AB370" s="13"/>
      <c r="AC370" s="13">
        <f>AE370</f>
        <v>43</v>
      </c>
      <c r="AD370" s="13"/>
      <c r="AE370" s="13">
        <v>43</v>
      </c>
      <c r="AF370" s="13"/>
      <c r="AG370" s="13"/>
      <c r="AH370" s="13">
        <f>AJ370</f>
        <v>43</v>
      </c>
      <c r="AI370" s="13"/>
      <c r="AJ370" s="13">
        <v>43</v>
      </c>
      <c r="AK370" s="13"/>
      <c r="AL370" s="13"/>
      <c r="AM370" s="13">
        <f>AO370</f>
        <v>43</v>
      </c>
      <c r="AN370" s="13"/>
      <c r="AO370" s="13">
        <v>43</v>
      </c>
      <c r="AP370" s="13"/>
      <c r="AQ370" s="13"/>
    </row>
    <row r="371" spans="1:43" ht="35.1" customHeight="1" thickBot="1">
      <c r="A371" s="14"/>
      <c r="B371" s="41"/>
      <c r="C371" s="26"/>
      <c r="D371" s="26"/>
      <c r="E371" s="26"/>
      <c r="F371" s="141"/>
      <c r="G371" s="26"/>
      <c r="H371" s="26"/>
      <c r="I371" s="26"/>
      <c r="J371" s="228"/>
      <c r="K371" s="26"/>
      <c r="L371" s="13"/>
      <c r="M371" s="56" t="s">
        <v>574</v>
      </c>
      <c r="N371" s="13">
        <f>R371</f>
        <v>6</v>
      </c>
      <c r="O371" s="13">
        <f t="shared" si="177"/>
        <v>6</v>
      </c>
      <c r="P371" s="13"/>
      <c r="Q371" s="13"/>
      <c r="R371" s="13">
        <v>6</v>
      </c>
      <c r="S371" s="13">
        <v>6</v>
      </c>
      <c r="T371" s="13"/>
      <c r="U371" s="13"/>
      <c r="V371" s="13"/>
      <c r="W371" s="13"/>
      <c r="X371" s="13">
        <f>Z371</f>
        <v>0</v>
      </c>
      <c r="Y371" s="13"/>
      <c r="Z371" s="13">
        <v>0</v>
      </c>
      <c r="AA371" s="13"/>
      <c r="AB371" s="13"/>
      <c r="AC371" s="13">
        <f>AE371</f>
        <v>0</v>
      </c>
      <c r="AD371" s="13"/>
      <c r="AE371" s="13">
        <v>0</v>
      </c>
      <c r="AF371" s="13"/>
      <c r="AG371" s="13"/>
      <c r="AH371" s="13">
        <f>AJ371</f>
        <v>0</v>
      </c>
      <c r="AI371" s="13"/>
      <c r="AJ371" s="13">
        <v>0</v>
      </c>
      <c r="AK371" s="13"/>
      <c r="AL371" s="13"/>
      <c r="AM371" s="13">
        <f>AO371</f>
        <v>0</v>
      </c>
      <c r="AN371" s="13"/>
      <c r="AO371" s="13">
        <v>0</v>
      </c>
      <c r="AP371" s="13"/>
      <c r="AQ371" s="13"/>
    </row>
    <row r="372" spans="1:43" ht="35.1" customHeight="1" thickBot="1">
      <c r="A372" s="14"/>
      <c r="B372" s="54"/>
      <c r="C372" s="45" t="s">
        <v>575</v>
      </c>
      <c r="D372" s="26" t="s">
        <v>576</v>
      </c>
      <c r="E372" s="26" t="s">
        <v>577</v>
      </c>
      <c r="F372" s="26" t="s">
        <v>578</v>
      </c>
      <c r="G372" s="26" t="s">
        <v>147</v>
      </c>
      <c r="H372" s="26" t="s">
        <v>579</v>
      </c>
      <c r="I372" s="232" t="s">
        <v>580</v>
      </c>
      <c r="J372" s="26" t="s">
        <v>147</v>
      </c>
      <c r="K372" s="27" t="s">
        <v>751</v>
      </c>
      <c r="L372" s="13"/>
      <c r="M372" s="56" t="s">
        <v>581</v>
      </c>
      <c r="N372" s="13">
        <f>P372+R372+T372+V372</f>
        <v>46.5</v>
      </c>
      <c r="O372" s="13">
        <f t="shared" si="177"/>
        <v>33.299999999999997</v>
      </c>
      <c r="P372" s="13"/>
      <c r="Q372" s="13"/>
      <c r="R372" s="13">
        <f>39.7+6.8</f>
        <v>46.5</v>
      </c>
      <c r="S372" s="13">
        <v>33.299999999999997</v>
      </c>
      <c r="T372" s="13"/>
      <c r="U372" s="13"/>
      <c r="V372" s="13"/>
      <c r="W372" s="13"/>
      <c r="X372" s="13">
        <f>Y372+Z372+AA372+AB372</f>
        <v>57.6</v>
      </c>
      <c r="Y372" s="13"/>
      <c r="Z372" s="13">
        <v>57.6</v>
      </c>
      <c r="AA372" s="13"/>
      <c r="AB372" s="13"/>
      <c r="AC372" s="13">
        <f>AD372+AE372+AF372+AG372</f>
        <v>57.6</v>
      </c>
      <c r="AD372" s="13"/>
      <c r="AE372" s="13">
        <v>57.6</v>
      </c>
      <c r="AF372" s="13"/>
      <c r="AG372" s="13"/>
      <c r="AH372" s="13">
        <f t="shared" si="180"/>
        <v>57.6</v>
      </c>
      <c r="AI372" s="13"/>
      <c r="AJ372" s="13">
        <v>57.6</v>
      </c>
      <c r="AK372" s="13"/>
      <c r="AL372" s="13"/>
      <c r="AM372" s="13">
        <f>AN372+AO372+AP372+AQ372</f>
        <v>57.6</v>
      </c>
      <c r="AN372" s="13"/>
      <c r="AO372" s="13">
        <v>57.6</v>
      </c>
      <c r="AP372" s="13"/>
      <c r="AQ372" s="13"/>
    </row>
    <row r="373" spans="1:43" ht="35.1" customHeight="1">
      <c r="A373" s="15"/>
      <c r="B373" s="142"/>
      <c r="C373" s="232"/>
      <c r="D373" s="205"/>
      <c r="E373" s="205"/>
      <c r="F373" s="26"/>
      <c r="G373" s="205"/>
      <c r="H373" s="205"/>
      <c r="I373" s="279"/>
      <c r="J373" s="205"/>
      <c r="K373" s="205"/>
      <c r="L373" s="35"/>
      <c r="M373" s="143" t="s">
        <v>582</v>
      </c>
      <c r="N373" s="35">
        <f>P373+R373+T373+V373</f>
        <v>30.3</v>
      </c>
      <c r="O373" s="13">
        <f t="shared" si="177"/>
        <v>30.3</v>
      </c>
      <c r="P373" s="35"/>
      <c r="Q373" s="35"/>
      <c r="R373" s="35">
        <v>30.3</v>
      </c>
      <c r="S373" s="35">
        <v>30.3</v>
      </c>
      <c r="T373" s="35"/>
      <c r="U373" s="35"/>
      <c r="V373" s="35"/>
      <c r="W373" s="35"/>
      <c r="X373" s="35">
        <f>Y373+Z373+AA373+AB373</f>
        <v>32.799999999999997</v>
      </c>
      <c r="Y373" s="35"/>
      <c r="Z373" s="35">
        <v>32.799999999999997</v>
      </c>
      <c r="AA373" s="35"/>
      <c r="AB373" s="35"/>
      <c r="AC373" s="35">
        <f>AD373+AE373+AF373+AG373</f>
        <v>32.799999999999997</v>
      </c>
      <c r="AD373" s="35"/>
      <c r="AE373" s="35">
        <v>32.799999999999997</v>
      </c>
      <c r="AF373" s="35"/>
      <c r="AG373" s="35"/>
      <c r="AH373" s="35">
        <f t="shared" si="180"/>
        <v>32.799999999999997</v>
      </c>
      <c r="AI373" s="35"/>
      <c r="AJ373" s="35">
        <v>32.799999999999997</v>
      </c>
      <c r="AK373" s="35"/>
      <c r="AL373" s="35"/>
      <c r="AM373" s="35">
        <f>AN373+AO373+AP373+AQ373</f>
        <v>32.799999999999997</v>
      </c>
      <c r="AN373" s="35"/>
      <c r="AO373" s="35">
        <v>32.799999999999997</v>
      </c>
      <c r="AP373" s="35"/>
      <c r="AQ373" s="35"/>
    </row>
    <row r="374" spans="1:43" ht="35.1" customHeight="1">
      <c r="A374" s="40"/>
      <c r="B374" s="16"/>
      <c r="C374" s="26" t="s">
        <v>583</v>
      </c>
      <c r="D374" s="228" t="s">
        <v>147</v>
      </c>
      <c r="E374" s="228" t="s">
        <v>584</v>
      </c>
      <c r="F374" s="26" t="s">
        <v>791</v>
      </c>
      <c r="G374" s="69" t="s">
        <v>35</v>
      </c>
      <c r="H374" s="69" t="s">
        <v>792</v>
      </c>
      <c r="I374" s="26" t="s">
        <v>585</v>
      </c>
      <c r="J374" s="228" t="s">
        <v>147</v>
      </c>
      <c r="K374" s="26" t="s">
        <v>793</v>
      </c>
      <c r="L374" s="13"/>
      <c r="M374" s="24" t="s">
        <v>586</v>
      </c>
      <c r="N374" s="13">
        <f>P374+R374+T374+V374</f>
        <v>1141.3</v>
      </c>
      <c r="O374" s="13">
        <f t="shared" si="177"/>
        <v>1089.7</v>
      </c>
      <c r="P374" s="13"/>
      <c r="Q374" s="13"/>
      <c r="R374" s="13">
        <v>1141.3</v>
      </c>
      <c r="S374" s="13">
        <v>1089.7</v>
      </c>
      <c r="T374" s="13"/>
      <c r="U374" s="13"/>
      <c r="V374" s="13"/>
      <c r="W374" s="13"/>
      <c r="X374" s="13">
        <f>Y374+Z374+AA374+AB374</f>
        <v>1236.5999999999999</v>
      </c>
      <c r="Y374" s="13"/>
      <c r="Z374" s="13">
        <v>1236.5999999999999</v>
      </c>
      <c r="AA374" s="13"/>
      <c r="AB374" s="13"/>
      <c r="AC374" s="13">
        <f>AD374+AE374+AF374+AG374</f>
        <v>1236.5999999999999</v>
      </c>
      <c r="AD374" s="13"/>
      <c r="AE374" s="13">
        <v>1236.5999999999999</v>
      </c>
      <c r="AF374" s="13"/>
      <c r="AG374" s="13"/>
      <c r="AH374" s="13">
        <f t="shared" si="180"/>
        <v>1236.5999999999999</v>
      </c>
      <c r="AI374" s="13"/>
      <c r="AJ374" s="13">
        <v>1236.5999999999999</v>
      </c>
      <c r="AK374" s="13"/>
      <c r="AL374" s="13"/>
      <c r="AM374" s="13">
        <f>AN374+AO374+AP374+AQ374</f>
        <v>1236.5999999999999</v>
      </c>
      <c r="AN374" s="13"/>
      <c r="AO374" s="13">
        <v>1236.5999999999999</v>
      </c>
      <c r="AP374" s="13"/>
      <c r="AQ374" s="13"/>
    </row>
    <row r="375" spans="1:43" ht="35.1" customHeight="1">
      <c r="A375" s="40"/>
      <c r="B375" s="16"/>
      <c r="C375" s="26"/>
      <c r="D375" s="228"/>
      <c r="E375" s="228"/>
      <c r="F375" s="26"/>
      <c r="G375" s="26"/>
      <c r="H375" s="26"/>
      <c r="I375" s="26"/>
      <c r="J375" s="228"/>
      <c r="K375" s="26"/>
      <c r="L375" s="13"/>
      <c r="M375" s="24" t="s">
        <v>587</v>
      </c>
      <c r="N375" s="13">
        <f>P375+R375+T375+V375</f>
        <v>593.29999999999995</v>
      </c>
      <c r="O375" s="13">
        <f t="shared" si="177"/>
        <v>588.70000000000005</v>
      </c>
      <c r="P375" s="13"/>
      <c r="Q375" s="13"/>
      <c r="R375" s="13">
        <v>593.29999999999995</v>
      </c>
      <c r="S375" s="13">
        <v>588.70000000000005</v>
      </c>
      <c r="T375" s="13"/>
      <c r="U375" s="13"/>
      <c r="V375" s="13"/>
      <c r="W375" s="13"/>
      <c r="X375" s="13">
        <f>Y375+Z375+AA375+AB375</f>
        <v>738.8</v>
      </c>
      <c r="Y375" s="13"/>
      <c r="Z375" s="13">
        <v>738.8</v>
      </c>
      <c r="AA375" s="13"/>
      <c r="AB375" s="13"/>
      <c r="AC375" s="13">
        <f>AD375+AE375+AF375+AG375</f>
        <v>738.8</v>
      </c>
      <c r="AD375" s="13"/>
      <c r="AE375" s="13">
        <v>738.8</v>
      </c>
      <c r="AF375" s="13"/>
      <c r="AG375" s="13"/>
      <c r="AH375" s="13">
        <f t="shared" si="180"/>
        <v>738.8</v>
      </c>
      <c r="AI375" s="13"/>
      <c r="AJ375" s="13">
        <v>738.8</v>
      </c>
      <c r="AK375" s="13"/>
      <c r="AL375" s="13"/>
      <c r="AM375" s="13">
        <f>AN375+AO375+AP375+AQ375</f>
        <v>738.8</v>
      </c>
      <c r="AN375" s="13"/>
      <c r="AO375" s="13">
        <v>738.8</v>
      </c>
      <c r="AP375" s="13"/>
      <c r="AQ375" s="13"/>
    </row>
    <row r="376" spans="1:43" ht="35.1" customHeight="1">
      <c r="A376" s="96" t="s">
        <v>588</v>
      </c>
      <c r="B376" s="110">
        <v>3202</v>
      </c>
      <c r="C376" s="48"/>
      <c r="D376" s="49"/>
      <c r="E376" s="49"/>
      <c r="F376" s="49"/>
      <c r="G376" s="49"/>
      <c r="H376" s="49"/>
      <c r="I376" s="49"/>
      <c r="J376" s="49"/>
      <c r="K376" s="49"/>
      <c r="L376" s="49">
        <v>1</v>
      </c>
      <c r="M376" s="24"/>
      <c r="N376" s="20">
        <f>N377+N378+N379+N384+N385+N380+N381+N383+N382</f>
        <v>7111.0999999999995</v>
      </c>
      <c r="O376" s="20">
        <f t="shared" ref="O376:V376" si="182">O377+O378+O379+O384+O385+O380+O381+O383+O382</f>
        <v>6582.2999999999993</v>
      </c>
      <c r="P376" s="20">
        <f t="shared" si="182"/>
        <v>0</v>
      </c>
      <c r="Q376" s="20">
        <f t="shared" si="182"/>
        <v>0</v>
      </c>
      <c r="R376" s="20">
        <f t="shared" si="182"/>
        <v>7111.0999999999995</v>
      </c>
      <c r="S376" s="20">
        <f t="shared" si="182"/>
        <v>6582.2999999999993</v>
      </c>
      <c r="T376" s="20">
        <f t="shared" si="182"/>
        <v>0</v>
      </c>
      <c r="U376" s="20">
        <f t="shared" si="182"/>
        <v>0</v>
      </c>
      <c r="V376" s="20">
        <f t="shared" si="182"/>
        <v>0</v>
      </c>
      <c r="W376" s="20"/>
      <c r="X376" s="20">
        <f t="shared" ref="X376:AQ376" si="183">X377+X378+X379+X384+X385+X380+X381+X383+X382</f>
        <v>8994.6</v>
      </c>
      <c r="Y376" s="20">
        <f t="shared" si="183"/>
        <v>0</v>
      </c>
      <c r="Z376" s="20">
        <f t="shared" si="183"/>
        <v>8994.6</v>
      </c>
      <c r="AA376" s="20">
        <f t="shared" si="183"/>
        <v>0</v>
      </c>
      <c r="AB376" s="20">
        <f t="shared" si="183"/>
        <v>0</v>
      </c>
      <c r="AC376" s="20">
        <f>AC377+AC378+AC379+AC384+AC385+AC380+AC381+AC383+AC382</f>
        <v>8994.6</v>
      </c>
      <c r="AD376" s="20">
        <f t="shared" si="183"/>
        <v>0</v>
      </c>
      <c r="AE376" s="20">
        <f t="shared" si="183"/>
        <v>8994.6</v>
      </c>
      <c r="AF376" s="20">
        <f t="shared" si="183"/>
        <v>0</v>
      </c>
      <c r="AG376" s="20">
        <f t="shared" si="183"/>
        <v>0</v>
      </c>
      <c r="AH376" s="20">
        <f t="shared" si="183"/>
        <v>8994.6</v>
      </c>
      <c r="AI376" s="20">
        <f t="shared" si="183"/>
        <v>0</v>
      </c>
      <c r="AJ376" s="20">
        <f t="shared" si="183"/>
        <v>8994.6</v>
      </c>
      <c r="AK376" s="20">
        <f t="shared" si="183"/>
        <v>0</v>
      </c>
      <c r="AL376" s="20">
        <f t="shared" si="183"/>
        <v>0</v>
      </c>
      <c r="AM376" s="20">
        <f t="shared" si="183"/>
        <v>8994.6</v>
      </c>
      <c r="AN376" s="20">
        <f t="shared" si="183"/>
        <v>0</v>
      </c>
      <c r="AO376" s="20">
        <f t="shared" si="183"/>
        <v>8994.6</v>
      </c>
      <c r="AP376" s="20">
        <f t="shared" si="183"/>
        <v>0</v>
      </c>
      <c r="AQ376" s="20">
        <f t="shared" si="183"/>
        <v>0</v>
      </c>
    </row>
    <row r="377" spans="1:43" ht="35.1" customHeight="1">
      <c r="A377" s="40"/>
      <c r="B377" s="90"/>
      <c r="C377" s="23" t="s">
        <v>489</v>
      </c>
      <c r="D377" s="23" t="s">
        <v>544</v>
      </c>
      <c r="E377" s="23" t="s">
        <v>491</v>
      </c>
      <c r="F377" s="23" t="s">
        <v>545</v>
      </c>
      <c r="G377" s="23" t="s">
        <v>35</v>
      </c>
      <c r="H377" s="23" t="s">
        <v>546</v>
      </c>
      <c r="I377" s="45" t="s">
        <v>547</v>
      </c>
      <c r="J377" s="13" t="s">
        <v>97</v>
      </c>
      <c r="K377" s="24" t="s">
        <v>803</v>
      </c>
      <c r="L377" s="13"/>
      <c r="M377" s="56" t="s">
        <v>589</v>
      </c>
      <c r="N377" s="13">
        <f>P377+R377+T377+V377</f>
        <v>60.2</v>
      </c>
      <c r="O377" s="13">
        <f>Q377+S377</f>
        <v>60.2</v>
      </c>
      <c r="P377" s="13"/>
      <c r="Q377" s="13"/>
      <c r="R377" s="13">
        <f>51.2+9</f>
        <v>60.2</v>
      </c>
      <c r="S377" s="13">
        <v>60.2</v>
      </c>
      <c r="T377" s="13"/>
      <c r="U377" s="13"/>
      <c r="V377" s="13"/>
      <c r="W377" s="13"/>
      <c r="X377" s="13">
        <f>Y377+Z377+AA377+AB377</f>
        <v>69.7</v>
      </c>
      <c r="Y377" s="13"/>
      <c r="Z377" s="13">
        <v>69.7</v>
      </c>
      <c r="AA377" s="13"/>
      <c r="AB377" s="13"/>
      <c r="AC377" s="13">
        <f>AD377+AE377+AF377+AG377</f>
        <v>69.7</v>
      </c>
      <c r="AD377" s="13"/>
      <c r="AE377" s="13">
        <v>69.7</v>
      </c>
      <c r="AF377" s="13"/>
      <c r="AG377" s="13"/>
      <c r="AH377" s="13">
        <f>AI377+AJ377+AK377+AL377</f>
        <v>69.7</v>
      </c>
      <c r="AI377" s="13"/>
      <c r="AJ377" s="13">
        <v>69.7</v>
      </c>
      <c r="AK377" s="13"/>
      <c r="AL377" s="13"/>
      <c r="AM377" s="13">
        <f>AN377+AO377+AP377+AQ377</f>
        <v>69.7</v>
      </c>
      <c r="AN377" s="13"/>
      <c r="AO377" s="13">
        <v>69.7</v>
      </c>
      <c r="AP377" s="13"/>
      <c r="AQ377" s="13"/>
    </row>
    <row r="378" spans="1:43" ht="35.1" customHeight="1">
      <c r="A378" s="40"/>
      <c r="B378" s="90"/>
      <c r="C378" s="23" t="s">
        <v>489</v>
      </c>
      <c r="D378" s="23" t="s">
        <v>550</v>
      </c>
      <c r="E378" s="23" t="s">
        <v>491</v>
      </c>
      <c r="F378" s="23" t="s">
        <v>551</v>
      </c>
      <c r="G378" s="23" t="s">
        <v>35</v>
      </c>
      <c r="H378" s="23" t="s">
        <v>552</v>
      </c>
      <c r="I378" s="137" t="s">
        <v>553</v>
      </c>
      <c r="J378" s="13" t="s">
        <v>97</v>
      </c>
      <c r="K378" s="24" t="s">
        <v>804</v>
      </c>
      <c r="L378" s="13"/>
      <c r="M378" s="56" t="s">
        <v>590</v>
      </c>
      <c r="N378" s="13">
        <f>P378+R378+T378+V378</f>
        <v>860.09999999999991</v>
      </c>
      <c r="O378" s="13">
        <f t="shared" ref="O378:O385" si="184">Q378+S378</f>
        <v>823.1</v>
      </c>
      <c r="P378" s="13"/>
      <c r="Q378" s="13"/>
      <c r="R378" s="13">
        <f>731.3+128.8</f>
        <v>860.09999999999991</v>
      </c>
      <c r="S378" s="13">
        <v>823.1</v>
      </c>
      <c r="T378" s="13"/>
      <c r="U378" s="13"/>
      <c r="V378" s="13"/>
      <c r="W378" s="13"/>
      <c r="X378" s="13">
        <f>Y378+Z378+AA378+AB378</f>
        <v>1023.6</v>
      </c>
      <c r="Y378" s="13"/>
      <c r="Z378" s="13">
        <v>1023.6</v>
      </c>
      <c r="AA378" s="13"/>
      <c r="AB378" s="13"/>
      <c r="AC378" s="13">
        <f>AD378+AE378+AF378+AG378</f>
        <v>1023.6</v>
      </c>
      <c r="AD378" s="13"/>
      <c r="AE378" s="13">
        <v>1023.6</v>
      </c>
      <c r="AF378" s="13"/>
      <c r="AG378" s="13"/>
      <c r="AH378" s="13">
        <f t="shared" ref="AH378:AH385" si="185">AI378+AJ378+AK378+AL378</f>
        <v>1023.6</v>
      </c>
      <c r="AI378" s="13"/>
      <c r="AJ378" s="13">
        <v>1023.6</v>
      </c>
      <c r="AK378" s="13"/>
      <c r="AL378" s="13"/>
      <c r="AM378" s="13">
        <f>AN378+AO378+AP378+AQ378</f>
        <v>1023.6</v>
      </c>
      <c r="AN378" s="13"/>
      <c r="AO378" s="13">
        <v>1023.6</v>
      </c>
      <c r="AP378" s="13"/>
      <c r="AQ378" s="13"/>
    </row>
    <row r="379" spans="1:43" ht="35.1" customHeight="1">
      <c r="A379" s="40"/>
      <c r="B379" s="90"/>
      <c r="C379" s="23" t="s">
        <v>489</v>
      </c>
      <c r="D379" s="23" t="s">
        <v>558</v>
      </c>
      <c r="E379" s="23" t="s">
        <v>491</v>
      </c>
      <c r="F379" s="23" t="s">
        <v>559</v>
      </c>
      <c r="G379" s="23" t="s">
        <v>35</v>
      </c>
      <c r="H379" s="23" t="s">
        <v>560</v>
      </c>
      <c r="I379" s="45" t="s">
        <v>561</v>
      </c>
      <c r="J379" s="13" t="s">
        <v>97</v>
      </c>
      <c r="K379" s="24" t="s">
        <v>805</v>
      </c>
      <c r="L379" s="13"/>
      <c r="M379" s="56" t="s">
        <v>591</v>
      </c>
      <c r="N379" s="13">
        <f>P379+R379+T379+V379</f>
        <v>1149</v>
      </c>
      <c r="O379" s="13">
        <f t="shared" si="184"/>
        <v>919.4</v>
      </c>
      <c r="P379" s="13"/>
      <c r="Q379" s="13"/>
      <c r="R379" s="13">
        <f>731.3+128.8+288.9</f>
        <v>1149</v>
      </c>
      <c r="S379" s="13">
        <v>919.4</v>
      </c>
      <c r="T379" s="13"/>
      <c r="U379" s="13"/>
      <c r="V379" s="13"/>
      <c r="W379" s="13"/>
      <c r="X379" s="13">
        <f>Y379+Z379+AA379+AB379</f>
        <v>2047.2</v>
      </c>
      <c r="Y379" s="13"/>
      <c r="Z379" s="13">
        <v>2047.2</v>
      </c>
      <c r="AA379" s="13"/>
      <c r="AB379" s="13"/>
      <c r="AC379" s="13">
        <f>AD379+AE379+AF379+AG379</f>
        <v>2047.2</v>
      </c>
      <c r="AD379" s="13"/>
      <c r="AE379" s="13">
        <v>2047.2</v>
      </c>
      <c r="AF379" s="13"/>
      <c r="AG379" s="13"/>
      <c r="AH379" s="13">
        <f t="shared" si="185"/>
        <v>2047.2</v>
      </c>
      <c r="AI379" s="13"/>
      <c r="AJ379" s="13">
        <v>2047.2</v>
      </c>
      <c r="AK379" s="13"/>
      <c r="AL379" s="13"/>
      <c r="AM379" s="13">
        <f>AN379+AO379+AP379+AQ379</f>
        <v>2047.2</v>
      </c>
      <c r="AN379" s="13"/>
      <c r="AO379" s="13">
        <v>2047.2</v>
      </c>
      <c r="AP379" s="13"/>
      <c r="AQ379" s="13"/>
    </row>
    <row r="380" spans="1:43" ht="35.1" customHeight="1" thickBot="1">
      <c r="A380" s="14"/>
      <c r="B380" s="22"/>
      <c r="C380" s="23"/>
      <c r="D380" s="23"/>
      <c r="E380" s="23"/>
      <c r="F380" s="23" t="s">
        <v>566</v>
      </c>
      <c r="G380" s="23" t="s">
        <v>67</v>
      </c>
      <c r="H380" s="23" t="s">
        <v>567</v>
      </c>
      <c r="I380" s="26"/>
      <c r="J380" s="228"/>
      <c r="K380" s="26"/>
      <c r="L380" s="13"/>
      <c r="M380" s="56" t="s">
        <v>592</v>
      </c>
      <c r="N380" s="13">
        <f>R380</f>
        <v>860.09999999999991</v>
      </c>
      <c r="O380" s="13">
        <f t="shared" si="184"/>
        <v>807.5</v>
      </c>
      <c r="P380" s="13"/>
      <c r="Q380" s="13"/>
      <c r="R380" s="13">
        <f>731.3+128.8</f>
        <v>860.09999999999991</v>
      </c>
      <c r="S380" s="13">
        <v>807.5</v>
      </c>
      <c r="T380" s="13"/>
      <c r="U380" s="13"/>
      <c r="V380" s="13"/>
      <c r="W380" s="13"/>
      <c r="X380" s="13">
        <f>Z380</f>
        <v>1023.7</v>
      </c>
      <c r="Y380" s="13"/>
      <c r="Z380" s="13">
        <v>1023.7</v>
      </c>
      <c r="AA380" s="13"/>
      <c r="AB380" s="13"/>
      <c r="AC380" s="13">
        <f>AE380</f>
        <v>1023.7</v>
      </c>
      <c r="AD380" s="13"/>
      <c r="AE380" s="13">
        <v>1023.7</v>
      </c>
      <c r="AF380" s="13"/>
      <c r="AG380" s="13"/>
      <c r="AH380" s="13">
        <f>AJ380</f>
        <v>1023.7</v>
      </c>
      <c r="AI380" s="13"/>
      <c r="AJ380" s="13">
        <v>1023.7</v>
      </c>
      <c r="AK380" s="13"/>
      <c r="AL380" s="13"/>
      <c r="AM380" s="13">
        <f>AO380</f>
        <v>1023.7</v>
      </c>
      <c r="AN380" s="13"/>
      <c r="AO380" s="13">
        <v>1023.7</v>
      </c>
      <c r="AP380" s="13"/>
      <c r="AQ380" s="13"/>
    </row>
    <row r="381" spans="1:43" ht="35.1" customHeight="1" thickBot="1">
      <c r="A381" s="14"/>
      <c r="B381" s="41"/>
      <c r="C381" s="26" t="s">
        <v>583</v>
      </c>
      <c r="D381" s="228" t="s">
        <v>147</v>
      </c>
      <c r="E381" s="228" t="s">
        <v>584</v>
      </c>
      <c r="F381" s="26" t="s">
        <v>723</v>
      </c>
      <c r="G381" s="26" t="s">
        <v>734</v>
      </c>
      <c r="H381" s="26" t="s">
        <v>735</v>
      </c>
      <c r="I381" s="26"/>
      <c r="J381" s="228"/>
      <c r="K381" s="26"/>
      <c r="L381" s="13"/>
      <c r="M381" s="56" t="s">
        <v>593</v>
      </c>
      <c r="N381" s="13">
        <f>R381</f>
        <v>89.399999999999991</v>
      </c>
      <c r="O381" s="13">
        <f t="shared" si="184"/>
        <v>89.4</v>
      </c>
      <c r="P381" s="13"/>
      <c r="Q381" s="13"/>
      <c r="R381" s="13">
        <f>49.9+29.4+10.1</f>
        <v>89.399999999999991</v>
      </c>
      <c r="S381" s="13">
        <v>89.4</v>
      </c>
      <c r="T381" s="13"/>
      <c r="U381" s="13"/>
      <c r="V381" s="13"/>
      <c r="W381" s="13"/>
      <c r="X381" s="13">
        <f>Z381</f>
        <v>96</v>
      </c>
      <c r="Y381" s="13"/>
      <c r="Z381" s="13">
        <v>96</v>
      </c>
      <c r="AA381" s="13"/>
      <c r="AB381" s="13"/>
      <c r="AC381" s="13">
        <f>AE381</f>
        <v>96</v>
      </c>
      <c r="AD381" s="13"/>
      <c r="AE381" s="13">
        <v>96</v>
      </c>
      <c r="AF381" s="13"/>
      <c r="AG381" s="13"/>
      <c r="AH381" s="13">
        <f>AJ381</f>
        <v>96</v>
      </c>
      <c r="AI381" s="13"/>
      <c r="AJ381" s="13">
        <v>96</v>
      </c>
      <c r="AK381" s="13"/>
      <c r="AL381" s="13"/>
      <c r="AM381" s="13">
        <f>AO381</f>
        <v>96</v>
      </c>
      <c r="AN381" s="13"/>
      <c r="AO381" s="13">
        <v>96</v>
      </c>
      <c r="AP381" s="13"/>
      <c r="AQ381" s="13"/>
    </row>
    <row r="382" spans="1:43" ht="35.1" customHeight="1">
      <c r="A382" s="40"/>
      <c r="B382" s="61"/>
      <c r="C382" s="12"/>
      <c r="D382" s="13"/>
      <c r="E382" s="13"/>
      <c r="F382" s="24" t="s">
        <v>802</v>
      </c>
      <c r="G382" s="24" t="s">
        <v>97</v>
      </c>
      <c r="H382" s="24" t="s">
        <v>801</v>
      </c>
      <c r="I382" s="24"/>
      <c r="J382" s="13"/>
      <c r="K382" s="13"/>
      <c r="L382" s="13"/>
      <c r="M382" s="56" t="s">
        <v>594</v>
      </c>
      <c r="N382" s="13">
        <f>P382+R382+T382+V382</f>
        <v>369.9</v>
      </c>
      <c r="O382" s="13">
        <f t="shared" si="184"/>
        <v>369.9</v>
      </c>
      <c r="P382" s="13"/>
      <c r="Q382" s="13"/>
      <c r="R382" s="13">
        <f>314.4+55.5</f>
        <v>369.9</v>
      </c>
      <c r="S382" s="13">
        <v>369.9</v>
      </c>
      <c r="T382" s="13"/>
      <c r="U382" s="13"/>
      <c r="V382" s="13"/>
      <c r="W382" s="13"/>
      <c r="X382" s="13">
        <f>Y382+Z382+AA382+AB382</f>
        <v>307.10000000000002</v>
      </c>
      <c r="Y382" s="13"/>
      <c r="Z382" s="13">
        <v>307.10000000000002</v>
      </c>
      <c r="AA382" s="13"/>
      <c r="AB382" s="13"/>
      <c r="AC382" s="13">
        <f>AD382+AE382+AF382+AG382</f>
        <v>307.10000000000002</v>
      </c>
      <c r="AD382" s="13"/>
      <c r="AE382" s="13">
        <v>307.10000000000002</v>
      </c>
      <c r="AF382" s="13"/>
      <c r="AG382" s="13"/>
      <c r="AH382" s="13">
        <f>AI382+AJ382+AK382+AL382</f>
        <v>307.10000000000002</v>
      </c>
      <c r="AI382" s="13"/>
      <c r="AJ382" s="13">
        <v>307.10000000000002</v>
      </c>
      <c r="AK382" s="13"/>
      <c r="AL382" s="13"/>
      <c r="AM382" s="13">
        <f>AN382+AO382+AP382+AQ382</f>
        <v>307.10000000000002</v>
      </c>
      <c r="AN382" s="13"/>
      <c r="AO382" s="13">
        <v>307.10000000000002</v>
      </c>
      <c r="AP382" s="13"/>
      <c r="AQ382" s="13"/>
    </row>
    <row r="383" spans="1:43" ht="35.1" customHeight="1">
      <c r="A383" s="86"/>
      <c r="B383" s="41"/>
      <c r="C383" s="26" t="s">
        <v>583</v>
      </c>
      <c r="D383" s="228" t="s">
        <v>147</v>
      </c>
      <c r="E383" s="228" t="s">
        <v>584</v>
      </c>
      <c r="F383" s="26" t="s">
        <v>791</v>
      </c>
      <c r="G383" s="69" t="s">
        <v>35</v>
      </c>
      <c r="H383" s="69" t="s">
        <v>792</v>
      </c>
      <c r="I383" s="26" t="s">
        <v>585</v>
      </c>
      <c r="J383" s="228" t="s">
        <v>147</v>
      </c>
      <c r="K383" s="26" t="s">
        <v>793</v>
      </c>
      <c r="L383" s="13"/>
      <c r="M383" s="56" t="s">
        <v>595</v>
      </c>
      <c r="N383" s="13">
        <f>P383+R383+T383+V383</f>
        <v>127.8</v>
      </c>
      <c r="O383" s="13">
        <f t="shared" si="184"/>
        <v>125.9</v>
      </c>
      <c r="P383" s="13"/>
      <c r="Q383" s="13"/>
      <c r="R383" s="13">
        <f>116.7+11.1</f>
        <v>127.8</v>
      </c>
      <c r="S383" s="13">
        <v>125.9</v>
      </c>
      <c r="T383" s="13"/>
      <c r="U383" s="13"/>
      <c r="V383" s="13"/>
      <c r="W383" s="13"/>
      <c r="X383" s="13">
        <f>Y383+Z383+AA383+AB383</f>
        <v>142</v>
      </c>
      <c r="Y383" s="13"/>
      <c r="Z383" s="13">
        <v>142</v>
      </c>
      <c r="AA383" s="13"/>
      <c r="AB383" s="13"/>
      <c r="AC383" s="13">
        <f>AD383+AE383+AF383+AG383</f>
        <v>142</v>
      </c>
      <c r="AD383" s="13"/>
      <c r="AE383" s="13">
        <v>142</v>
      </c>
      <c r="AF383" s="13"/>
      <c r="AG383" s="13"/>
      <c r="AH383" s="13">
        <f>AI383+AJ383+AK383+AL383</f>
        <v>142</v>
      </c>
      <c r="AI383" s="13"/>
      <c r="AJ383" s="13">
        <v>142</v>
      </c>
      <c r="AK383" s="13"/>
      <c r="AL383" s="13"/>
      <c r="AM383" s="13">
        <f>AN383+AO383+AP383+AQ383</f>
        <v>142</v>
      </c>
      <c r="AN383" s="13"/>
      <c r="AO383" s="13">
        <v>142</v>
      </c>
      <c r="AP383" s="13"/>
      <c r="AQ383" s="13"/>
    </row>
    <row r="384" spans="1:43" ht="35.1" customHeight="1">
      <c r="A384" s="40"/>
      <c r="B384" s="90"/>
      <c r="C384" s="45" t="s">
        <v>575</v>
      </c>
      <c r="D384" s="26" t="s">
        <v>576</v>
      </c>
      <c r="E384" s="26" t="s">
        <v>577</v>
      </c>
      <c r="F384" s="26" t="s">
        <v>578</v>
      </c>
      <c r="G384" s="26" t="s">
        <v>147</v>
      </c>
      <c r="H384" s="26" t="s">
        <v>579</v>
      </c>
      <c r="I384" s="45" t="s">
        <v>580</v>
      </c>
      <c r="J384" s="26" t="s">
        <v>147</v>
      </c>
      <c r="K384" s="27" t="s">
        <v>751</v>
      </c>
      <c r="L384" s="13"/>
      <c r="M384" s="56" t="s">
        <v>596</v>
      </c>
      <c r="N384" s="13">
        <f>R384</f>
        <v>154</v>
      </c>
      <c r="O384" s="13">
        <f t="shared" si="184"/>
        <v>110.4</v>
      </c>
      <c r="P384" s="13"/>
      <c r="Q384" s="13"/>
      <c r="R384" s="13">
        <f>131.5+22.5</f>
        <v>154</v>
      </c>
      <c r="S384" s="13">
        <v>110.4</v>
      </c>
      <c r="T384" s="13"/>
      <c r="U384" s="13"/>
      <c r="V384" s="13"/>
      <c r="W384" s="13"/>
      <c r="X384" s="13">
        <f>Z384</f>
        <v>190.8</v>
      </c>
      <c r="Y384" s="13"/>
      <c r="Z384" s="13">
        <v>190.8</v>
      </c>
      <c r="AA384" s="13"/>
      <c r="AB384" s="13"/>
      <c r="AC384" s="13">
        <f>AE384</f>
        <v>190.8</v>
      </c>
      <c r="AD384" s="13"/>
      <c r="AE384" s="13">
        <v>190.8</v>
      </c>
      <c r="AF384" s="13"/>
      <c r="AG384" s="13"/>
      <c r="AH384" s="13">
        <f t="shared" si="185"/>
        <v>190.8</v>
      </c>
      <c r="AI384" s="13"/>
      <c r="AJ384" s="13">
        <v>190.8</v>
      </c>
      <c r="AK384" s="13"/>
      <c r="AL384" s="13"/>
      <c r="AM384" s="13">
        <f>AN384+AO384+AP384+AQ384</f>
        <v>190.8</v>
      </c>
      <c r="AN384" s="13"/>
      <c r="AO384" s="13">
        <v>190.8</v>
      </c>
      <c r="AP384" s="13"/>
      <c r="AQ384" s="13"/>
    </row>
    <row r="385" spans="1:43" ht="35.1" customHeight="1">
      <c r="A385" s="40"/>
      <c r="B385" s="90"/>
      <c r="C385" s="26" t="s">
        <v>583</v>
      </c>
      <c r="D385" s="228" t="s">
        <v>147</v>
      </c>
      <c r="E385" s="228" t="s">
        <v>584</v>
      </c>
      <c r="F385" s="26" t="s">
        <v>791</v>
      </c>
      <c r="G385" s="69" t="s">
        <v>35</v>
      </c>
      <c r="H385" s="69" t="s">
        <v>792</v>
      </c>
      <c r="I385" s="26" t="s">
        <v>585</v>
      </c>
      <c r="J385" s="228" t="s">
        <v>147</v>
      </c>
      <c r="K385" s="26" t="s">
        <v>793</v>
      </c>
      <c r="L385" s="13"/>
      <c r="M385" s="56" t="s">
        <v>597</v>
      </c>
      <c r="N385" s="13">
        <f>P385+R385+T385+V385</f>
        <v>3440.6000000000004</v>
      </c>
      <c r="O385" s="13">
        <f t="shared" si="184"/>
        <v>3276.5</v>
      </c>
      <c r="P385" s="13"/>
      <c r="Q385" s="13"/>
      <c r="R385" s="13">
        <f>2925.3+515.3</f>
        <v>3440.6000000000004</v>
      </c>
      <c r="S385" s="13">
        <v>3276.5</v>
      </c>
      <c r="T385" s="13"/>
      <c r="U385" s="13"/>
      <c r="V385" s="13"/>
      <c r="W385" s="13"/>
      <c r="X385" s="13">
        <f>Y385+Z385+AA385+AB385</f>
        <v>4094.5</v>
      </c>
      <c r="Y385" s="13"/>
      <c r="Z385" s="13">
        <v>4094.5</v>
      </c>
      <c r="AA385" s="13"/>
      <c r="AB385" s="13"/>
      <c r="AC385" s="13">
        <f>AD385+AE385+AF385+AG385</f>
        <v>4094.5</v>
      </c>
      <c r="AD385" s="13"/>
      <c r="AE385" s="13">
        <v>4094.5</v>
      </c>
      <c r="AF385" s="13"/>
      <c r="AG385" s="13"/>
      <c r="AH385" s="13">
        <f t="shared" si="185"/>
        <v>4094.5</v>
      </c>
      <c r="AI385" s="13"/>
      <c r="AJ385" s="13">
        <v>4094.5</v>
      </c>
      <c r="AK385" s="13"/>
      <c r="AL385" s="13"/>
      <c r="AM385" s="13">
        <f>AN385+AO385+AP385+AQ385</f>
        <v>4094.5</v>
      </c>
      <c r="AN385" s="13"/>
      <c r="AO385" s="13">
        <v>4094.5</v>
      </c>
      <c r="AP385" s="13"/>
      <c r="AQ385" s="13"/>
    </row>
    <row r="386" spans="1:43" ht="35.1" customHeight="1">
      <c r="A386" s="36" t="s">
        <v>598</v>
      </c>
      <c r="B386" s="85">
        <v>3228</v>
      </c>
      <c r="C386" s="19"/>
      <c r="D386" s="20"/>
      <c r="E386" s="20"/>
      <c r="F386" s="20"/>
      <c r="G386" s="20"/>
      <c r="H386" s="20"/>
      <c r="I386" s="20"/>
      <c r="J386" s="20"/>
      <c r="K386" s="20"/>
      <c r="L386" s="20">
        <v>10</v>
      </c>
      <c r="M386" s="56"/>
      <c r="N386" s="20">
        <f>N387+N388</f>
        <v>68073.600000000006</v>
      </c>
      <c r="O386" s="20">
        <f t="shared" ref="O386:AQ386" si="186">O387+O388</f>
        <v>67312.899999999994</v>
      </c>
      <c r="P386" s="20">
        <f t="shared" si="186"/>
        <v>2539.1999999999998</v>
      </c>
      <c r="Q386" s="20">
        <f t="shared" si="186"/>
        <v>2539.1999999999998</v>
      </c>
      <c r="R386" s="20">
        <f t="shared" si="186"/>
        <v>65534.400000000001</v>
      </c>
      <c r="S386" s="20">
        <f t="shared" si="186"/>
        <v>64773.7</v>
      </c>
      <c r="T386" s="20">
        <f t="shared" si="186"/>
        <v>0</v>
      </c>
      <c r="U386" s="20">
        <f t="shared" si="186"/>
        <v>0</v>
      </c>
      <c r="V386" s="20">
        <f t="shared" si="186"/>
        <v>0</v>
      </c>
      <c r="W386" s="20">
        <f t="shared" si="186"/>
        <v>0</v>
      </c>
      <c r="X386" s="20">
        <f t="shared" si="186"/>
        <v>32458.7</v>
      </c>
      <c r="Y386" s="20">
        <f t="shared" si="186"/>
        <v>5436.8</v>
      </c>
      <c r="Z386" s="20">
        <f t="shared" si="186"/>
        <v>27021.9</v>
      </c>
      <c r="AA386" s="20">
        <f t="shared" si="186"/>
        <v>0</v>
      </c>
      <c r="AB386" s="20">
        <f t="shared" si="186"/>
        <v>0</v>
      </c>
      <c r="AC386" s="20">
        <f t="shared" si="186"/>
        <v>30913</v>
      </c>
      <c r="AD386" s="20">
        <f t="shared" si="186"/>
        <v>4946.1000000000004</v>
      </c>
      <c r="AE386" s="20">
        <f t="shared" si="186"/>
        <v>25966.9</v>
      </c>
      <c r="AF386" s="20">
        <f t="shared" si="186"/>
        <v>0</v>
      </c>
      <c r="AG386" s="20">
        <f t="shared" si="186"/>
        <v>0</v>
      </c>
      <c r="AH386" s="20">
        <f t="shared" si="186"/>
        <v>29108.300000000003</v>
      </c>
      <c r="AI386" s="20">
        <f t="shared" si="186"/>
        <v>4439</v>
      </c>
      <c r="AJ386" s="20">
        <f t="shared" si="186"/>
        <v>24669.3</v>
      </c>
      <c r="AK386" s="20">
        <f t="shared" si="186"/>
        <v>0</v>
      </c>
      <c r="AL386" s="20">
        <f t="shared" si="186"/>
        <v>0</v>
      </c>
      <c r="AM386" s="20">
        <f t="shared" si="186"/>
        <v>29108.300000000003</v>
      </c>
      <c r="AN386" s="20">
        <f t="shared" si="186"/>
        <v>4439</v>
      </c>
      <c r="AO386" s="20">
        <f t="shared" si="186"/>
        <v>24669.3</v>
      </c>
      <c r="AP386" s="20">
        <f t="shared" si="186"/>
        <v>0</v>
      </c>
      <c r="AQ386" s="20">
        <f t="shared" si="186"/>
        <v>0</v>
      </c>
    </row>
    <row r="387" spans="1:43" ht="35.1" customHeight="1">
      <c r="A387" s="40"/>
      <c r="B387" s="61"/>
      <c r="C387" s="23" t="s">
        <v>489</v>
      </c>
      <c r="D387" s="23" t="s">
        <v>599</v>
      </c>
      <c r="E387" s="23" t="s">
        <v>491</v>
      </c>
      <c r="F387" s="23" t="s">
        <v>600</v>
      </c>
      <c r="G387" s="23" t="s">
        <v>35</v>
      </c>
      <c r="H387" s="23" t="s">
        <v>601</v>
      </c>
      <c r="I387" s="24" t="s">
        <v>602</v>
      </c>
      <c r="J387" s="228" t="s">
        <v>147</v>
      </c>
      <c r="K387" s="24" t="s">
        <v>801</v>
      </c>
      <c r="L387" s="13"/>
      <c r="M387" s="144" t="s">
        <v>603</v>
      </c>
      <c r="N387" s="13">
        <f>P387+R387+T387+V387</f>
        <v>64446.200000000004</v>
      </c>
      <c r="O387" s="13">
        <f>Q387+S387</f>
        <v>63685.5</v>
      </c>
      <c r="P387" s="13"/>
      <c r="Q387" s="13"/>
      <c r="R387" s="13">
        <f>25490.4-1068.1+40023.9</f>
        <v>64446.200000000004</v>
      </c>
      <c r="S387" s="13">
        <v>63685.5</v>
      </c>
      <c r="T387" s="13"/>
      <c r="U387" s="13"/>
      <c r="V387" s="13"/>
      <c r="W387" s="13"/>
      <c r="X387" s="13">
        <f>Y387+Z387+AA387+AB387</f>
        <v>24344</v>
      </c>
      <c r="Y387" s="13"/>
      <c r="Z387" s="13">
        <v>24344</v>
      </c>
      <c r="AA387" s="13"/>
      <c r="AB387" s="13"/>
      <c r="AC387" s="13">
        <f>AD387+AE387+AF387+AG387</f>
        <v>23184.7</v>
      </c>
      <c r="AD387" s="13"/>
      <c r="AE387" s="13">
        <v>23184.7</v>
      </c>
      <c r="AF387" s="13"/>
      <c r="AG387" s="13"/>
      <c r="AH387" s="13">
        <f>AI387+AJ387+AK387+AL387</f>
        <v>21831.200000000001</v>
      </c>
      <c r="AI387" s="13"/>
      <c r="AJ387" s="13">
        <v>21831.200000000001</v>
      </c>
      <c r="AK387" s="13"/>
      <c r="AL387" s="13"/>
      <c r="AM387" s="13">
        <f>AN387+AO387+AP387+AQ387</f>
        <v>21831.200000000001</v>
      </c>
      <c r="AN387" s="13"/>
      <c r="AO387" s="13">
        <v>21831.200000000001</v>
      </c>
      <c r="AP387" s="13"/>
      <c r="AQ387" s="13"/>
    </row>
    <row r="388" spans="1:43" ht="35.1" customHeight="1">
      <c r="A388" s="40"/>
      <c r="B388" s="41"/>
      <c r="C388" s="45" t="s">
        <v>604</v>
      </c>
      <c r="D388" s="13" t="s">
        <v>97</v>
      </c>
      <c r="E388" s="13" t="s">
        <v>800</v>
      </c>
      <c r="F388" s="23" t="s">
        <v>600</v>
      </c>
      <c r="G388" s="23" t="s">
        <v>35</v>
      </c>
      <c r="H388" s="23" t="s">
        <v>601</v>
      </c>
      <c r="I388" s="24" t="s">
        <v>903</v>
      </c>
      <c r="J388" s="228" t="s">
        <v>147</v>
      </c>
      <c r="K388" s="24" t="s">
        <v>904</v>
      </c>
      <c r="L388" s="145"/>
      <c r="M388" s="56" t="s">
        <v>608</v>
      </c>
      <c r="N388" s="13">
        <f>P388+R388+T388+V388</f>
        <v>3627.3999999999996</v>
      </c>
      <c r="O388" s="13">
        <f t="shared" ref="O388" si="187">Q388+S388</f>
        <v>3627.3999999999996</v>
      </c>
      <c r="P388" s="35">
        <v>2539.1999999999998</v>
      </c>
      <c r="Q388" s="35">
        <v>2539.1999999999998</v>
      </c>
      <c r="R388" s="35">
        <v>1088.2</v>
      </c>
      <c r="S388" s="35">
        <v>1088.2</v>
      </c>
      <c r="T388" s="35"/>
      <c r="U388" s="35"/>
      <c r="V388" s="35"/>
      <c r="W388" s="35"/>
      <c r="X388" s="13">
        <f>Y388+Z388+AA388+AB388</f>
        <v>8114.7000000000007</v>
      </c>
      <c r="Y388" s="35">
        <v>5436.8</v>
      </c>
      <c r="Z388" s="35">
        <v>2677.9</v>
      </c>
      <c r="AA388" s="35"/>
      <c r="AB388" s="35"/>
      <c r="AC388" s="13">
        <f>AD388+AE388+AF388+AG388</f>
        <v>7728.3</v>
      </c>
      <c r="AD388" s="35">
        <v>4946.1000000000004</v>
      </c>
      <c r="AE388" s="35">
        <v>2782.2</v>
      </c>
      <c r="AF388" s="35"/>
      <c r="AG388" s="35"/>
      <c r="AH388" s="13">
        <f>AI388+AJ388+AK388+AL388</f>
        <v>7277.1</v>
      </c>
      <c r="AI388" s="35">
        <v>4439</v>
      </c>
      <c r="AJ388" s="35">
        <v>2838.1</v>
      </c>
      <c r="AK388" s="35"/>
      <c r="AL388" s="35"/>
      <c r="AM388" s="13">
        <f>AN388+AO388+AP388+AQ388</f>
        <v>7277.1</v>
      </c>
      <c r="AN388" s="35">
        <v>4439</v>
      </c>
      <c r="AO388" s="35">
        <v>2838.1</v>
      </c>
      <c r="AP388" s="35"/>
      <c r="AQ388" s="35"/>
    </row>
    <row r="389" spans="1:43" ht="35.1" customHeight="1" thickBot="1">
      <c r="A389" s="17" t="s">
        <v>609</v>
      </c>
      <c r="B389" s="64">
        <v>3235</v>
      </c>
      <c r="C389" s="19"/>
      <c r="D389" s="20"/>
      <c r="E389" s="20"/>
      <c r="F389" s="20"/>
      <c r="G389" s="20"/>
      <c r="H389" s="20"/>
      <c r="I389" s="146"/>
      <c r="J389" s="147"/>
      <c r="K389" s="145"/>
      <c r="L389" s="20">
        <v>10</v>
      </c>
      <c r="M389" s="56"/>
      <c r="N389" s="39">
        <f t="shared" ref="N389:V389" si="188">N390</f>
        <v>0</v>
      </c>
      <c r="O389" s="39"/>
      <c r="P389" s="39">
        <f t="shared" si="188"/>
        <v>0</v>
      </c>
      <c r="Q389" s="39"/>
      <c r="R389" s="39">
        <f t="shared" si="188"/>
        <v>0</v>
      </c>
      <c r="S389" s="39"/>
      <c r="T389" s="39">
        <f t="shared" si="188"/>
        <v>0</v>
      </c>
      <c r="U389" s="39"/>
      <c r="V389" s="39">
        <f t="shared" si="188"/>
        <v>0</v>
      </c>
      <c r="W389" s="39"/>
      <c r="X389" s="39">
        <f t="shared" ref="X389:AQ389" si="189">X390</f>
        <v>0</v>
      </c>
      <c r="Y389" s="39">
        <f t="shared" si="189"/>
        <v>0</v>
      </c>
      <c r="Z389" s="39">
        <f t="shared" si="189"/>
        <v>0</v>
      </c>
      <c r="AA389" s="39">
        <f t="shared" si="189"/>
        <v>0</v>
      </c>
      <c r="AB389" s="39">
        <f t="shared" si="189"/>
        <v>0</v>
      </c>
      <c r="AC389" s="39">
        <f t="shared" si="189"/>
        <v>0</v>
      </c>
      <c r="AD389" s="39">
        <f t="shared" si="189"/>
        <v>0</v>
      </c>
      <c r="AE389" s="39">
        <f t="shared" si="189"/>
        <v>0</v>
      </c>
      <c r="AF389" s="39">
        <f t="shared" si="189"/>
        <v>0</v>
      </c>
      <c r="AG389" s="39">
        <f t="shared" si="189"/>
        <v>0</v>
      </c>
      <c r="AH389" s="39">
        <f t="shared" si="189"/>
        <v>0</v>
      </c>
      <c r="AI389" s="39">
        <f t="shared" si="189"/>
        <v>0</v>
      </c>
      <c r="AJ389" s="39">
        <f t="shared" si="189"/>
        <v>0</v>
      </c>
      <c r="AK389" s="39">
        <f t="shared" si="189"/>
        <v>0</v>
      </c>
      <c r="AL389" s="39">
        <f t="shared" si="189"/>
        <v>0</v>
      </c>
      <c r="AM389" s="39">
        <f t="shared" si="189"/>
        <v>0</v>
      </c>
      <c r="AN389" s="39">
        <f t="shared" si="189"/>
        <v>0</v>
      </c>
      <c r="AO389" s="39">
        <f t="shared" si="189"/>
        <v>0</v>
      </c>
      <c r="AP389" s="39">
        <f t="shared" si="189"/>
        <v>0</v>
      </c>
      <c r="AQ389" s="39">
        <f t="shared" si="189"/>
        <v>0</v>
      </c>
    </row>
    <row r="390" spans="1:43" ht="35.1" customHeight="1" thickBot="1">
      <c r="A390" s="14"/>
      <c r="B390" s="22"/>
      <c r="C390" s="45"/>
      <c r="D390" s="45"/>
      <c r="E390" s="45"/>
      <c r="F390" s="45"/>
      <c r="G390" s="45"/>
      <c r="H390" s="45"/>
      <c r="I390" s="13"/>
      <c r="J390" s="13"/>
      <c r="K390" s="13"/>
      <c r="L390" s="13"/>
      <c r="M390" s="116"/>
      <c r="N390" s="13">
        <f>P390+R390+T390+V390</f>
        <v>0</v>
      </c>
      <c r="O390" s="13"/>
      <c r="P390" s="13"/>
      <c r="Q390" s="13"/>
      <c r="R390" s="13">
        <v>0</v>
      </c>
      <c r="S390" s="13"/>
      <c r="T390" s="13"/>
      <c r="U390" s="13"/>
      <c r="V390" s="13"/>
      <c r="W390" s="13"/>
      <c r="X390" s="13">
        <f>Y390+Z390+AA390+AB390</f>
        <v>0</v>
      </c>
      <c r="Y390" s="13"/>
      <c r="Z390" s="13">
        <v>0</v>
      </c>
      <c r="AA390" s="13"/>
      <c r="AB390" s="13"/>
      <c r="AC390" s="13">
        <f>AD390+AE390+AF390+AG390</f>
        <v>0</v>
      </c>
      <c r="AD390" s="13"/>
      <c r="AE390" s="13">
        <v>0</v>
      </c>
      <c r="AF390" s="13"/>
      <c r="AG390" s="13"/>
      <c r="AH390" s="13">
        <f>AI390+AJ390+AK390+AL390</f>
        <v>0</v>
      </c>
      <c r="AI390" s="13"/>
      <c r="AJ390" s="13">
        <v>0</v>
      </c>
      <c r="AK390" s="13"/>
      <c r="AL390" s="13"/>
      <c r="AM390" s="13">
        <f>AN390+AO390+AP390+AQ390</f>
        <v>0</v>
      </c>
      <c r="AN390" s="13"/>
      <c r="AO390" s="13">
        <v>0</v>
      </c>
      <c r="AP390" s="13"/>
      <c r="AQ390" s="13"/>
    </row>
    <row r="391" spans="1:43" ht="35.1" customHeight="1" thickBot="1">
      <c r="A391" s="17" t="s">
        <v>610</v>
      </c>
      <c r="B391" s="64">
        <v>3236</v>
      </c>
      <c r="C391" s="19"/>
      <c r="D391" s="20"/>
      <c r="E391" s="20"/>
      <c r="F391" s="20"/>
      <c r="G391" s="20"/>
      <c r="H391" s="20"/>
      <c r="I391" s="20"/>
      <c r="J391" s="20"/>
      <c r="K391" s="20"/>
      <c r="L391" s="20">
        <v>10</v>
      </c>
      <c r="M391" s="56"/>
      <c r="N391" s="20">
        <f t="shared" ref="N391:V391" si="190">N392+N393+N394</f>
        <v>506.5</v>
      </c>
      <c r="O391" s="20">
        <f t="shared" si="190"/>
        <v>456.4</v>
      </c>
      <c r="P391" s="20">
        <f t="shared" si="190"/>
        <v>0</v>
      </c>
      <c r="Q391" s="20">
        <f t="shared" si="190"/>
        <v>0</v>
      </c>
      <c r="R391" s="20">
        <f t="shared" si="190"/>
        <v>506.5</v>
      </c>
      <c r="S391" s="20">
        <f t="shared" si="190"/>
        <v>456.4</v>
      </c>
      <c r="T391" s="20">
        <f t="shared" si="190"/>
        <v>0</v>
      </c>
      <c r="U391" s="20"/>
      <c r="V391" s="20">
        <f t="shared" si="190"/>
        <v>0</v>
      </c>
      <c r="W391" s="20"/>
      <c r="X391" s="20">
        <f t="shared" ref="X391:AQ391" si="191">X392+X393+X394</f>
        <v>5185.7000000000007</v>
      </c>
      <c r="Y391" s="20">
        <f t="shared" si="191"/>
        <v>0</v>
      </c>
      <c r="Z391" s="20">
        <f t="shared" si="191"/>
        <v>5185.7000000000007</v>
      </c>
      <c r="AA391" s="20">
        <f t="shared" si="191"/>
        <v>0</v>
      </c>
      <c r="AB391" s="20">
        <f t="shared" si="191"/>
        <v>0</v>
      </c>
      <c r="AC391" s="20">
        <f t="shared" si="191"/>
        <v>5185.7000000000007</v>
      </c>
      <c r="AD391" s="20">
        <f t="shared" si="191"/>
        <v>0</v>
      </c>
      <c r="AE391" s="20">
        <f t="shared" si="191"/>
        <v>5185.7000000000007</v>
      </c>
      <c r="AF391" s="20">
        <f t="shared" si="191"/>
        <v>0</v>
      </c>
      <c r="AG391" s="20">
        <f t="shared" si="191"/>
        <v>0</v>
      </c>
      <c r="AH391" s="20">
        <f t="shared" si="191"/>
        <v>5185.7000000000007</v>
      </c>
      <c r="AI391" s="20">
        <f t="shared" si="191"/>
        <v>0</v>
      </c>
      <c r="AJ391" s="20">
        <f t="shared" si="191"/>
        <v>5185.7000000000007</v>
      </c>
      <c r="AK391" s="20">
        <f t="shared" si="191"/>
        <v>0</v>
      </c>
      <c r="AL391" s="20">
        <f t="shared" si="191"/>
        <v>0</v>
      </c>
      <c r="AM391" s="20">
        <f t="shared" si="191"/>
        <v>5185.7000000000007</v>
      </c>
      <c r="AN391" s="20">
        <f t="shared" si="191"/>
        <v>0</v>
      </c>
      <c r="AO391" s="20">
        <f t="shared" si="191"/>
        <v>5185.7000000000007</v>
      </c>
      <c r="AP391" s="20">
        <f t="shared" si="191"/>
        <v>0</v>
      </c>
      <c r="AQ391" s="20">
        <f t="shared" si="191"/>
        <v>0</v>
      </c>
    </row>
    <row r="392" spans="1:43" ht="35.1" customHeight="1" thickBot="1">
      <c r="A392" s="14"/>
      <c r="B392" s="22"/>
      <c r="C392" s="23" t="s">
        <v>489</v>
      </c>
      <c r="D392" s="23" t="s">
        <v>611</v>
      </c>
      <c r="E392" s="23" t="s">
        <v>491</v>
      </c>
      <c r="F392" s="26" t="s">
        <v>612</v>
      </c>
      <c r="G392" s="26" t="s">
        <v>296</v>
      </c>
      <c r="H392" s="26" t="s">
        <v>613</v>
      </c>
      <c r="I392" s="45" t="s">
        <v>614</v>
      </c>
      <c r="J392" s="228" t="s">
        <v>147</v>
      </c>
      <c r="K392" s="24" t="s">
        <v>794</v>
      </c>
      <c r="L392" s="13"/>
      <c r="M392" s="56" t="s">
        <v>615</v>
      </c>
      <c r="N392" s="13">
        <f>P392+R392+T392+V392</f>
        <v>465.6</v>
      </c>
      <c r="O392" s="13">
        <f>Q392+S392</f>
        <v>419</v>
      </c>
      <c r="P392" s="13"/>
      <c r="Q392" s="13"/>
      <c r="R392" s="13">
        <v>465.6</v>
      </c>
      <c r="S392" s="13">
        <v>419</v>
      </c>
      <c r="T392" s="13"/>
      <c r="U392" s="13"/>
      <c r="V392" s="13"/>
      <c r="W392" s="13"/>
      <c r="X392" s="13">
        <f>Y392+Z392+AA392+AB392</f>
        <v>1006.6</v>
      </c>
      <c r="Y392" s="13"/>
      <c r="Z392" s="13">
        <v>1006.6</v>
      </c>
      <c r="AA392" s="13"/>
      <c r="AB392" s="13"/>
      <c r="AC392" s="13">
        <f>AD392+AE392+AF392+AG392</f>
        <v>1006.6</v>
      </c>
      <c r="AD392" s="13"/>
      <c r="AE392" s="13">
        <v>1006.6</v>
      </c>
      <c r="AF392" s="13"/>
      <c r="AG392" s="13"/>
      <c r="AH392" s="13">
        <f>AI392+AJ392+AK392+AL392</f>
        <v>1006.6</v>
      </c>
      <c r="AI392" s="13"/>
      <c r="AJ392" s="13">
        <v>1006.6</v>
      </c>
      <c r="AK392" s="13"/>
      <c r="AL392" s="13"/>
      <c r="AM392" s="13">
        <f>AN392+AO392+AP392+AQ392</f>
        <v>1006.6</v>
      </c>
      <c r="AN392" s="13"/>
      <c r="AO392" s="13">
        <v>1006.6</v>
      </c>
      <c r="AP392" s="13"/>
      <c r="AQ392" s="13"/>
    </row>
    <row r="393" spans="1:43" ht="35.1" customHeight="1" thickBot="1">
      <c r="A393" s="14"/>
      <c r="B393" s="22"/>
      <c r="C393" s="26" t="s">
        <v>167</v>
      </c>
      <c r="D393" s="26" t="s">
        <v>168</v>
      </c>
      <c r="E393" s="26" t="s">
        <v>169</v>
      </c>
      <c r="F393" s="26"/>
      <c r="G393" s="26"/>
      <c r="H393" s="26"/>
      <c r="I393" s="45"/>
      <c r="J393" s="228"/>
      <c r="K393" s="24"/>
      <c r="L393" s="13"/>
      <c r="M393" s="56" t="s">
        <v>616</v>
      </c>
      <c r="N393" s="13">
        <f>P393+R393+T393+V393</f>
        <v>40.9</v>
      </c>
      <c r="O393" s="13">
        <f>Q393+S393</f>
        <v>37.4</v>
      </c>
      <c r="P393" s="13"/>
      <c r="Q393" s="13"/>
      <c r="R393" s="13">
        <v>40.9</v>
      </c>
      <c r="S393" s="13">
        <v>37.4</v>
      </c>
      <c r="T393" s="13"/>
      <c r="U393" s="13"/>
      <c r="V393" s="13"/>
      <c r="W393" s="13"/>
      <c r="X393" s="13">
        <f>Y393+Z393+AA393+AB393</f>
        <v>61</v>
      </c>
      <c r="Y393" s="13"/>
      <c r="Z393" s="13">
        <v>61</v>
      </c>
      <c r="AA393" s="13"/>
      <c r="AB393" s="13"/>
      <c r="AC393" s="13">
        <f>AD393+AE393+AF393+AG393</f>
        <v>61</v>
      </c>
      <c r="AD393" s="13"/>
      <c r="AE393" s="13">
        <v>61</v>
      </c>
      <c r="AF393" s="13"/>
      <c r="AG393" s="13"/>
      <c r="AH393" s="13">
        <f>AI393+AJ393+AK393+AL393</f>
        <v>61</v>
      </c>
      <c r="AI393" s="13"/>
      <c r="AJ393" s="13">
        <v>61</v>
      </c>
      <c r="AK393" s="13"/>
      <c r="AL393" s="13"/>
      <c r="AM393" s="13">
        <f>AN393+AO393+AP393+AQ393</f>
        <v>61</v>
      </c>
      <c r="AN393" s="13"/>
      <c r="AO393" s="13">
        <v>61</v>
      </c>
      <c r="AP393" s="13"/>
      <c r="AQ393" s="13"/>
    </row>
    <row r="394" spans="1:43" ht="35.1" customHeight="1" thickBot="1">
      <c r="A394" s="14"/>
      <c r="B394" s="22"/>
      <c r="C394" s="26"/>
      <c r="D394" s="26"/>
      <c r="E394" s="26"/>
      <c r="F394" s="26"/>
      <c r="G394" s="26"/>
      <c r="H394" s="26"/>
      <c r="I394" s="45"/>
      <c r="J394" s="228"/>
      <c r="K394" s="24"/>
      <c r="L394" s="13"/>
      <c r="M394" s="56" t="s">
        <v>617</v>
      </c>
      <c r="N394" s="13">
        <f>P394+R394+T394+V394</f>
        <v>0</v>
      </c>
      <c r="O394" s="13">
        <f>Q394+S394</f>
        <v>0</v>
      </c>
      <c r="P394" s="13"/>
      <c r="Q394" s="13"/>
      <c r="R394" s="13">
        <f>139.5-139.5</f>
        <v>0</v>
      </c>
      <c r="S394" s="13">
        <v>0</v>
      </c>
      <c r="T394" s="13"/>
      <c r="U394" s="13"/>
      <c r="V394" s="13"/>
      <c r="W394" s="13"/>
      <c r="X394" s="13">
        <f>Y394+Z394+AA394+AB394</f>
        <v>4118.1000000000004</v>
      </c>
      <c r="Y394" s="13"/>
      <c r="Z394" s="13">
        <v>4118.1000000000004</v>
      </c>
      <c r="AA394" s="13"/>
      <c r="AB394" s="13"/>
      <c r="AC394" s="13">
        <f>AD394+AE394+AF394+AG394</f>
        <v>4118.1000000000004</v>
      </c>
      <c r="AD394" s="13"/>
      <c r="AE394" s="13">
        <v>4118.1000000000004</v>
      </c>
      <c r="AF394" s="13"/>
      <c r="AG394" s="13"/>
      <c r="AH394" s="13">
        <f>AI394+AJ394+AK394+AL394</f>
        <v>4118.1000000000004</v>
      </c>
      <c r="AI394" s="13"/>
      <c r="AJ394" s="13">
        <v>4118.1000000000004</v>
      </c>
      <c r="AK394" s="13"/>
      <c r="AL394" s="13"/>
      <c r="AM394" s="13">
        <f>AN394+AO394+AP394+AQ394</f>
        <v>4118.1000000000004</v>
      </c>
      <c r="AN394" s="13"/>
      <c r="AO394" s="13">
        <v>4118.1000000000004</v>
      </c>
      <c r="AP394" s="13"/>
      <c r="AQ394" s="13"/>
    </row>
    <row r="395" spans="1:43" ht="35.1" customHeight="1" thickBot="1">
      <c r="A395" s="17" t="s">
        <v>618</v>
      </c>
      <c r="B395" s="64">
        <v>3237</v>
      </c>
      <c r="C395" s="19"/>
      <c r="D395" s="20"/>
      <c r="E395" s="20"/>
      <c r="F395" s="20"/>
      <c r="G395" s="20"/>
      <c r="H395" s="20"/>
      <c r="I395" s="20"/>
      <c r="J395" s="20"/>
      <c r="K395" s="20"/>
      <c r="L395" s="20">
        <v>10</v>
      </c>
      <c r="M395" s="56"/>
      <c r="N395" s="20">
        <f>N396+N397+N399+N398</f>
        <v>5263.7</v>
      </c>
      <c r="O395" s="20">
        <f t="shared" ref="O395:V395" si="192">O396+O397+O399+O398</f>
        <v>5211.6000000000004</v>
      </c>
      <c r="P395" s="20">
        <f t="shared" si="192"/>
        <v>0</v>
      </c>
      <c r="Q395" s="20">
        <f t="shared" si="192"/>
        <v>0</v>
      </c>
      <c r="R395" s="20">
        <f t="shared" si="192"/>
        <v>5263.7</v>
      </c>
      <c r="S395" s="20">
        <f t="shared" si="192"/>
        <v>5211.6000000000004</v>
      </c>
      <c r="T395" s="20">
        <f t="shared" si="192"/>
        <v>0</v>
      </c>
      <c r="U395" s="20"/>
      <c r="V395" s="20">
        <f t="shared" si="192"/>
        <v>0</v>
      </c>
      <c r="W395" s="20"/>
      <c r="X395" s="20">
        <f t="shared" ref="X395:AQ395" si="193">X396+X397+X399+X398</f>
        <v>4093</v>
      </c>
      <c r="Y395" s="20">
        <f t="shared" si="193"/>
        <v>0</v>
      </c>
      <c r="Z395" s="20">
        <f t="shared" si="193"/>
        <v>4093</v>
      </c>
      <c r="AA395" s="20">
        <f t="shared" si="193"/>
        <v>0</v>
      </c>
      <c r="AB395" s="20">
        <f t="shared" si="193"/>
        <v>0</v>
      </c>
      <c r="AC395" s="20">
        <f t="shared" si="193"/>
        <v>4093</v>
      </c>
      <c r="AD395" s="20">
        <f t="shared" si="193"/>
        <v>0</v>
      </c>
      <c r="AE395" s="20">
        <f t="shared" si="193"/>
        <v>4093</v>
      </c>
      <c r="AF395" s="20">
        <f t="shared" si="193"/>
        <v>0</v>
      </c>
      <c r="AG395" s="20">
        <f t="shared" si="193"/>
        <v>0</v>
      </c>
      <c r="AH395" s="20">
        <f t="shared" si="193"/>
        <v>4093</v>
      </c>
      <c r="AI395" s="20">
        <f t="shared" si="193"/>
        <v>0</v>
      </c>
      <c r="AJ395" s="20">
        <f t="shared" si="193"/>
        <v>4093</v>
      </c>
      <c r="AK395" s="20">
        <f t="shared" si="193"/>
        <v>0</v>
      </c>
      <c r="AL395" s="20">
        <f t="shared" si="193"/>
        <v>0</v>
      </c>
      <c r="AM395" s="20">
        <f t="shared" si="193"/>
        <v>4093</v>
      </c>
      <c r="AN395" s="20">
        <f t="shared" si="193"/>
        <v>0</v>
      </c>
      <c r="AO395" s="20">
        <f t="shared" si="193"/>
        <v>4093</v>
      </c>
      <c r="AP395" s="20">
        <f t="shared" si="193"/>
        <v>0</v>
      </c>
      <c r="AQ395" s="20">
        <f t="shared" si="193"/>
        <v>0</v>
      </c>
    </row>
    <row r="396" spans="1:43" ht="35.1" customHeight="1" thickBot="1">
      <c r="A396" s="14"/>
      <c r="B396" s="22"/>
      <c r="C396" s="26" t="s">
        <v>167</v>
      </c>
      <c r="D396" s="26" t="s">
        <v>168</v>
      </c>
      <c r="E396" s="26" t="s">
        <v>169</v>
      </c>
      <c r="F396" s="141" t="s">
        <v>170</v>
      </c>
      <c r="G396" s="26"/>
      <c r="H396" s="26"/>
      <c r="I396" s="66" t="s">
        <v>173</v>
      </c>
      <c r="J396" s="228" t="s">
        <v>147</v>
      </c>
      <c r="K396" s="26" t="s">
        <v>783</v>
      </c>
      <c r="L396" s="13"/>
      <c r="M396" s="56" t="s">
        <v>619</v>
      </c>
      <c r="N396" s="13">
        <f>P396+R396+T396+V396</f>
        <v>3091.7999999999997</v>
      </c>
      <c r="O396" s="13">
        <f>Q396+S396</f>
        <v>3091.8</v>
      </c>
      <c r="P396" s="13"/>
      <c r="Q396" s="13"/>
      <c r="R396" s="13">
        <f>3585.7-493.9</f>
        <v>3091.7999999999997</v>
      </c>
      <c r="S396" s="13">
        <v>3091.8</v>
      </c>
      <c r="T396" s="13"/>
      <c r="U396" s="13"/>
      <c r="V396" s="13"/>
      <c r="W396" s="13"/>
      <c r="X396" s="13">
        <f>Y396+Z396+AA396+AB396</f>
        <v>3193.8</v>
      </c>
      <c r="Y396" s="13"/>
      <c r="Z396" s="13">
        <v>3193.8</v>
      </c>
      <c r="AA396" s="13"/>
      <c r="AB396" s="13"/>
      <c r="AC396" s="13">
        <f>AD396+AE396+AF396+AG396</f>
        <v>3193.8</v>
      </c>
      <c r="AD396" s="13"/>
      <c r="AE396" s="13">
        <v>3193.8</v>
      </c>
      <c r="AF396" s="13"/>
      <c r="AG396" s="13"/>
      <c r="AH396" s="13">
        <f>AI396+AJ396+AK396+AL396</f>
        <v>3193.8</v>
      </c>
      <c r="AI396" s="13"/>
      <c r="AJ396" s="13">
        <v>3193.8</v>
      </c>
      <c r="AK396" s="13"/>
      <c r="AL396" s="13"/>
      <c r="AM396" s="13">
        <f>AN396+AO396+AP396+AQ396</f>
        <v>3193.8</v>
      </c>
      <c r="AN396" s="13"/>
      <c r="AO396" s="13">
        <v>3193.8</v>
      </c>
      <c r="AP396" s="13"/>
      <c r="AQ396" s="13"/>
    </row>
    <row r="397" spans="1:43" ht="35.1" customHeight="1" thickBot="1">
      <c r="A397" s="14"/>
      <c r="B397" s="22"/>
      <c r="C397" s="26"/>
      <c r="D397" s="26"/>
      <c r="E397" s="26"/>
      <c r="F397" s="26" t="s">
        <v>172</v>
      </c>
      <c r="G397" s="26"/>
      <c r="H397" s="26"/>
      <c r="I397" s="26" t="s">
        <v>620</v>
      </c>
      <c r="J397" s="228" t="s">
        <v>147</v>
      </c>
      <c r="K397" s="26" t="s">
        <v>795</v>
      </c>
      <c r="L397" s="13"/>
      <c r="M397" s="56" t="s">
        <v>621</v>
      </c>
      <c r="N397" s="13">
        <f>P397+R397+T397+V397</f>
        <v>717</v>
      </c>
      <c r="O397" s="13">
        <f>Q397+S397</f>
        <v>717</v>
      </c>
      <c r="P397" s="13"/>
      <c r="Q397" s="13"/>
      <c r="R397" s="13">
        <f>817.8-100.8</f>
        <v>717</v>
      </c>
      <c r="S397" s="13">
        <v>717</v>
      </c>
      <c r="T397" s="13"/>
      <c r="U397" s="13"/>
      <c r="V397" s="13"/>
      <c r="W397" s="13"/>
      <c r="X397" s="13">
        <f>Y397+Z397+AA397+AB397</f>
        <v>643.6</v>
      </c>
      <c r="Y397" s="13"/>
      <c r="Z397" s="13">
        <v>643.6</v>
      </c>
      <c r="AA397" s="13"/>
      <c r="AB397" s="13"/>
      <c r="AC397" s="13">
        <f>AD397+AE397+AF397+AG397</f>
        <v>643.6</v>
      </c>
      <c r="AD397" s="13"/>
      <c r="AE397" s="13">
        <v>643.6</v>
      </c>
      <c r="AF397" s="13"/>
      <c r="AG397" s="13"/>
      <c r="AH397" s="13">
        <f>AI397+AJ397+AK397+AL397</f>
        <v>643.6</v>
      </c>
      <c r="AI397" s="13"/>
      <c r="AJ397" s="13">
        <v>643.6</v>
      </c>
      <c r="AK397" s="13"/>
      <c r="AL397" s="13"/>
      <c r="AM397" s="13">
        <f>AN397+AO397+AP397+AQ397</f>
        <v>643.6</v>
      </c>
      <c r="AN397" s="13"/>
      <c r="AO397" s="13">
        <v>643.6</v>
      </c>
      <c r="AP397" s="13"/>
      <c r="AQ397" s="13"/>
    </row>
    <row r="398" spans="1:43" ht="35.1" customHeight="1" thickBot="1">
      <c r="A398" s="14"/>
      <c r="B398" s="22"/>
      <c r="C398" s="23" t="s">
        <v>489</v>
      </c>
      <c r="D398" s="23" t="s">
        <v>622</v>
      </c>
      <c r="E398" s="23" t="s">
        <v>491</v>
      </c>
      <c r="F398" s="23" t="s">
        <v>623</v>
      </c>
      <c r="G398" s="23" t="s">
        <v>624</v>
      </c>
      <c r="H398" s="23" t="s">
        <v>625</v>
      </c>
      <c r="I398" s="66"/>
      <c r="J398" s="228"/>
      <c r="K398" s="26"/>
      <c r="L398" s="13"/>
      <c r="M398" s="56" t="s">
        <v>626</v>
      </c>
      <c r="N398" s="13">
        <f>P398+R398+T398+V398</f>
        <v>0</v>
      </c>
      <c r="O398" s="13">
        <f>Q398+S398</f>
        <v>0</v>
      </c>
      <c r="P398" s="13"/>
      <c r="Q398" s="13"/>
      <c r="R398" s="13">
        <v>0</v>
      </c>
      <c r="S398" s="13">
        <v>0</v>
      </c>
      <c r="T398" s="13"/>
      <c r="U398" s="13"/>
      <c r="V398" s="13"/>
      <c r="W398" s="13"/>
      <c r="X398" s="13">
        <f>Y398+Z398+AA398+AB398</f>
        <v>0</v>
      </c>
      <c r="Y398" s="13"/>
      <c r="Z398" s="13">
        <v>0</v>
      </c>
      <c r="AA398" s="13"/>
      <c r="AB398" s="13"/>
      <c r="AC398" s="13">
        <f>AD398+AE398+AF398+AG398</f>
        <v>0</v>
      </c>
      <c r="AD398" s="13"/>
      <c r="AE398" s="13">
        <v>0</v>
      </c>
      <c r="AF398" s="13"/>
      <c r="AG398" s="13"/>
      <c r="AH398" s="13">
        <f>AI398+AJ398+AK398+AL398</f>
        <v>0</v>
      </c>
      <c r="AI398" s="13"/>
      <c r="AJ398" s="13">
        <v>0</v>
      </c>
      <c r="AK398" s="13"/>
      <c r="AL398" s="13"/>
      <c r="AM398" s="13">
        <f>AN398+AO398+AP398+AQ398</f>
        <v>0</v>
      </c>
      <c r="AN398" s="13"/>
      <c r="AO398" s="13">
        <v>0</v>
      </c>
      <c r="AP398" s="13"/>
      <c r="AQ398" s="13"/>
    </row>
    <row r="399" spans="1:43" ht="35.1" customHeight="1" thickBot="1">
      <c r="A399" s="14"/>
      <c r="B399" s="22"/>
      <c r="C399" s="23"/>
      <c r="D399" s="23"/>
      <c r="E399" s="23"/>
      <c r="F399" s="187" t="s">
        <v>627</v>
      </c>
      <c r="G399" s="187" t="s">
        <v>35</v>
      </c>
      <c r="H399" s="187" t="s">
        <v>628</v>
      </c>
      <c r="I399" s="252"/>
      <c r="J399" s="252"/>
      <c r="K399" s="26"/>
      <c r="L399" s="13"/>
      <c r="M399" s="56" t="s">
        <v>629</v>
      </c>
      <c r="N399" s="13">
        <f>P399+R399+T399+V399</f>
        <v>1454.9</v>
      </c>
      <c r="O399" s="13">
        <f>Q399+S399</f>
        <v>1402.8</v>
      </c>
      <c r="P399" s="13"/>
      <c r="Q399" s="13"/>
      <c r="R399" s="13">
        <f>2026.9-362-210</f>
        <v>1454.9</v>
      </c>
      <c r="S399" s="13">
        <v>1402.8</v>
      </c>
      <c r="T399" s="13"/>
      <c r="U399" s="13"/>
      <c r="V399" s="13"/>
      <c r="W399" s="13"/>
      <c r="X399" s="13">
        <f>Y399+Z399+AA399+AB399</f>
        <v>255.6</v>
      </c>
      <c r="Y399" s="13"/>
      <c r="Z399" s="13">
        <v>255.6</v>
      </c>
      <c r="AA399" s="13"/>
      <c r="AB399" s="13"/>
      <c r="AC399" s="13">
        <f>AD399+AE399+AF399+AG399</f>
        <v>255.6</v>
      </c>
      <c r="AD399" s="13"/>
      <c r="AE399" s="13">
        <v>255.6</v>
      </c>
      <c r="AF399" s="13"/>
      <c r="AG399" s="13"/>
      <c r="AH399" s="13">
        <f>AI399+AJ399+AK399+AL399</f>
        <v>255.6</v>
      </c>
      <c r="AI399" s="13"/>
      <c r="AJ399" s="13">
        <v>255.6</v>
      </c>
      <c r="AK399" s="13"/>
      <c r="AL399" s="13"/>
      <c r="AM399" s="13">
        <f>AN399+AO399+AP399+AQ399</f>
        <v>255.6</v>
      </c>
      <c r="AN399" s="13"/>
      <c r="AO399" s="13">
        <v>255.6</v>
      </c>
      <c r="AP399" s="13"/>
      <c r="AQ399" s="13"/>
    </row>
    <row r="400" spans="1:43" ht="35.1" customHeight="1" thickBot="1">
      <c r="A400" s="17" t="s">
        <v>630</v>
      </c>
      <c r="B400" s="64">
        <v>3241</v>
      </c>
      <c r="C400" s="19"/>
      <c r="D400" s="20"/>
      <c r="E400" s="20"/>
      <c r="F400" s="20"/>
      <c r="G400" s="20"/>
      <c r="H400" s="20"/>
      <c r="I400" s="20"/>
      <c r="J400" s="20"/>
      <c r="K400" s="20"/>
      <c r="L400" s="20">
        <v>6</v>
      </c>
      <c r="M400" s="56"/>
      <c r="N400" s="20">
        <f>N401+N402+N403+N404+N405</f>
        <v>11655.699999999999</v>
      </c>
      <c r="O400" s="20">
        <f t="shared" ref="O400:AQ400" si="194">O401+O402+O403+O404+O405</f>
        <v>11655.699999999999</v>
      </c>
      <c r="P400" s="20">
        <f t="shared" si="194"/>
        <v>0</v>
      </c>
      <c r="Q400" s="20">
        <f t="shared" si="194"/>
        <v>0</v>
      </c>
      <c r="R400" s="20">
        <f t="shared" si="194"/>
        <v>11655.699999999999</v>
      </c>
      <c r="S400" s="20">
        <f t="shared" si="194"/>
        <v>11655.699999999999</v>
      </c>
      <c r="T400" s="20">
        <f t="shared" si="194"/>
        <v>0</v>
      </c>
      <c r="U400" s="20">
        <f t="shared" si="194"/>
        <v>0</v>
      </c>
      <c r="V400" s="20">
        <f t="shared" si="194"/>
        <v>0</v>
      </c>
      <c r="W400" s="20">
        <f t="shared" si="194"/>
        <v>0</v>
      </c>
      <c r="X400" s="20">
        <f t="shared" si="194"/>
        <v>14825.699999999999</v>
      </c>
      <c r="Y400" s="20">
        <f t="shared" si="194"/>
        <v>0</v>
      </c>
      <c r="Z400" s="20">
        <f t="shared" si="194"/>
        <v>14825.699999999999</v>
      </c>
      <c r="AA400" s="20">
        <f t="shared" si="194"/>
        <v>0</v>
      </c>
      <c r="AB400" s="20">
        <f t="shared" si="194"/>
        <v>0</v>
      </c>
      <c r="AC400" s="20">
        <f t="shared" si="194"/>
        <v>14825.699999999999</v>
      </c>
      <c r="AD400" s="20">
        <f t="shared" si="194"/>
        <v>0</v>
      </c>
      <c r="AE400" s="20">
        <f t="shared" si="194"/>
        <v>14825.699999999999</v>
      </c>
      <c r="AF400" s="20">
        <f t="shared" si="194"/>
        <v>0</v>
      </c>
      <c r="AG400" s="20">
        <f t="shared" si="194"/>
        <v>0</v>
      </c>
      <c r="AH400" s="20">
        <f t="shared" si="194"/>
        <v>14825.699999999999</v>
      </c>
      <c r="AI400" s="20">
        <f t="shared" si="194"/>
        <v>0</v>
      </c>
      <c r="AJ400" s="20">
        <f t="shared" si="194"/>
        <v>14825.699999999999</v>
      </c>
      <c r="AK400" s="20">
        <f t="shared" si="194"/>
        <v>0</v>
      </c>
      <c r="AL400" s="20">
        <f t="shared" si="194"/>
        <v>0</v>
      </c>
      <c r="AM400" s="20">
        <f t="shared" si="194"/>
        <v>14825.699999999999</v>
      </c>
      <c r="AN400" s="20">
        <f t="shared" si="194"/>
        <v>0</v>
      </c>
      <c r="AO400" s="20">
        <f t="shared" si="194"/>
        <v>14825.699999999999</v>
      </c>
      <c r="AP400" s="20">
        <f t="shared" si="194"/>
        <v>0</v>
      </c>
      <c r="AQ400" s="20">
        <f t="shared" si="194"/>
        <v>0</v>
      </c>
    </row>
    <row r="401" spans="1:43" ht="35.1" customHeight="1" thickBot="1">
      <c r="A401" s="14"/>
      <c r="B401" s="22"/>
      <c r="C401" s="23" t="s">
        <v>489</v>
      </c>
      <c r="D401" s="23" t="s">
        <v>631</v>
      </c>
      <c r="E401" s="23" t="s">
        <v>491</v>
      </c>
      <c r="F401" s="45" t="s">
        <v>632</v>
      </c>
      <c r="G401" s="228" t="s">
        <v>147</v>
      </c>
      <c r="H401" s="24" t="s">
        <v>797</v>
      </c>
      <c r="I401" s="63" t="s">
        <v>736</v>
      </c>
      <c r="J401" s="228" t="s">
        <v>147</v>
      </c>
      <c r="K401" s="24" t="s">
        <v>796</v>
      </c>
      <c r="L401" s="13"/>
      <c r="M401" s="56" t="s">
        <v>633</v>
      </c>
      <c r="N401" s="13">
        <f t="shared" ref="N401:N405" si="195">P401+R401+T401+V401</f>
        <v>229.7</v>
      </c>
      <c r="O401" s="13">
        <f t="shared" ref="O401:O405" si="196">Q401+S401</f>
        <v>229.7</v>
      </c>
      <c r="P401" s="13"/>
      <c r="Q401" s="13"/>
      <c r="R401" s="13">
        <v>229.7</v>
      </c>
      <c r="S401" s="13">
        <v>229.7</v>
      </c>
      <c r="T401" s="13"/>
      <c r="U401" s="13"/>
      <c r="V401" s="13"/>
      <c r="W401" s="13"/>
      <c r="X401" s="13">
        <f t="shared" ref="X401:X405" si="197">Y401+Z401+AA401+AB401</f>
        <v>290.7</v>
      </c>
      <c r="Y401" s="13"/>
      <c r="Z401" s="13">
        <v>290.7</v>
      </c>
      <c r="AA401" s="13"/>
      <c r="AB401" s="13"/>
      <c r="AC401" s="13">
        <f t="shared" ref="AC401:AC405" si="198">AD401+AE401+AF401+AG401</f>
        <v>290.7</v>
      </c>
      <c r="AD401" s="13"/>
      <c r="AE401" s="13">
        <v>290.7</v>
      </c>
      <c r="AF401" s="13"/>
      <c r="AG401" s="13"/>
      <c r="AH401" s="13">
        <f t="shared" ref="AH401:AH405" si="199">AI401+AJ401+AK401+AL401</f>
        <v>290.7</v>
      </c>
      <c r="AI401" s="13"/>
      <c r="AJ401" s="13">
        <v>290.7</v>
      </c>
      <c r="AK401" s="13"/>
      <c r="AL401" s="13"/>
      <c r="AM401" s="13">
        <f t="shared" ref="AM401:AM405" si="200">AN401+AO401+AP401+AQ401</f>
        <v>290.7</v>
      </c>
      <c r="AN401" s="13"/>
      <c r="AO401" s="13">
        <v>290.7</v>
      </c>
      <c r="AP401" s="13"/>
      <c r="AQ401" s="13"/>
    </row>
    <row r="402" spans="1:43" ht="35.1" customHeight="1" thickBot="1">
      <c r="A402" s="14"/>
      <c r="B402" s="22"/>
      <c r="C402" s="228"/>
      <c r="D402" s="228"/>
      <c r="E402" s="228"/>
      <c r="F402" s="45"/>
      <c r="G402" s="228"/>
      <c r="H402" s="24"/>
      <c r="I402" s="63"/>
      <c r="J402" s="228"/>
      <c r="K402" s="24"/>
      <c r="L402" s="13"/>
      <c r="M402" s="56" t="s">
        <v>634</v>
      </c>
      <c r="N402" s="13">
        <f t="shared" si="195"/>
        <v>0</v>
      </c>
      <c r="O402" s="13">
        <f t="shared" si="196"/>
        <v>0</v>
      </c>
      <c r="P402" s="13"/>
      <c r="Q402" s="13"/>
      <c r="R402" s="13">
        <f>220.1+0.1-50-118.6-51.6</f>
        <v>0</v>
      </c>
      <c r="S402" s="13">
        <v>0</v>
      </c>
      <c r="T402" s="13"/>
      <c r="U402" s="13"/>
      <c r="V402" s="13"/>
      <c r="W402" s="13"/>
      <c r="X402" s="13">
        <f t="shared" si="197"/>
        <v>505.4</v>
      </c>
      <c r="Y402" s="13"/>
      <c r="Z402" s="13">
        <v>505.4</v>
      </c>
      <c r="AA402" s="13"/>
      <c r="AB402" s="13"/>
      <c r="AC402" s="13">
        <f t="shared" si="198"/>
        <v>505.4</v>
      </c>
      <c r="AD402" s="13"/>
      <c r="AE402" s="13">
        <v>505.4</v>
      </c>
      <c r="AF402" s="13"/>
      <c r="AG402" s="13"/>
      <c r="AH402" s="13">
        <f t="shared" si="199"/>
        <v>505.4</v>
      </c>
      <c r="AI402" s="13"/>
      <c r="AJ402" s="13">
        <v>505.4</v>
      </c>
      <c r="AK402" s="13"/>
      <c r="AL402" s="13"/>
      <c r="AM402" s="13">
        <f t="shared" si="200"/>
        <v>505.4</v>
      </c>
      <c r="AN402" s="13"/>
      <c r="AO402" s="13">
        <v>505.4</v>
      </c>
      <c r="AP402" s="13"/>
      <c r="AQ402" s="13"/>
    </row>
    <row r="403" spans="1:43" ht="35.1" customHeight="1" thickBot="1">
      <c r="A403" s="14"/>
      <c r="B403" s="22"/>
      <c r="C403" s="228"/>
      <c r="D403" s="228"/>
      <c r="E403" s="228"/>
      <c r="F403" s="45"/>
      <c r="G403" s="228"/>
      <c r="H403" s="24"/>
      <c r="I403" s="63"/>
      <c r="J403" s="228"/>
      <c r="K403" s="24"/>
      <c r="L403" s="13"/>
      <c r="M403" s="56" t="s">
        <v>635</v>
      </c>
      <c r="N403" s="13">
        <f t="shared" si="195"/>
        <v>7414.4999999999991</v>
      </c>
      <c r="O403" s="13">
        <f t="shared" si="196"/>
        <v>7414.5</v>
      </c>
      <c r="P403" s="13"/>
      <c r="Q403" s="13"/>
      <c r="R403" s="13">
        <f>7214.7+50-0.1+149.9</f>
        <v>7414.4999999999991</v>
      </c>
      <c r="S403" s="13">
        <v>7414.5</v>
      </c>
      <c r="T403" s="13"/>
      <c r="U403" s="13"/>
      <c r="V403" s="13"/>
      <c r="W403" s="13"/>
      <c r="X403" s="13">
        <f t="shared" si="197"/>
        <v>9764.4</v>
      </c>
      <c r="Y403" s="13"/>
      <c r="Z403" s="13">
        <v>9764.4</v>
      </c>
      <c r="AA403" s="13"/>
      <c r="AB403" s="13"/>
      <c r="AC403" s="13">
        <f t="shared" si="198"/>
        <v>9764.4</v>
      </c>
      <c r="AD403" s="13"/>
      <c r="AE403" s="13">
        <v>9764.4</v>
      </c>
      <c r="AF403" s="13"/>
      <c r="AG403" s="13"/>
      <c r="AH403" s="13">
        <f t="shared" si="199"/>
        <v>9764.4</v>
      </c>
      <c r="AI403" s="13"/>
      <c r="AJ403" s="13">
        <v>9764.4</v>
      </c>
      <c r="AK403" s="13"/>
      <c r="AL403" s="13"/>
      <c r="AM403" s="13">
        <f t="shared" si="200"/>
        <v>9764.4</v>
      </c>
      <c r="AN403" s="13"/>
      <c r="AO403" s="13">
        <v>9764.4</v>
      </c>
      <c r="AP403" s="13"/>
      <c r="AQ403" s="13"/>
    </row>
    <row r="404" spans="1:43" ht="35.1" customHeight="1" thickBot="1">
      <c r="A404" s="14"/>
      <c r="B404" s="22"/>
      <c r="C404" s="228"/>
      <c r="D404" s="228"/>
      <c r="E404" s="228"/>
      <c r="F404" s="45"/>
      <c r="G404" s="228"/>
      <c r="H404" s="24"/>
      <c r="I404" s="63"/>
      <c r="J404" s="228"/>
      <c r="K404" s="24"/>
      <c r="L404" s="13"/>
      <c r="M404" s="56" t="s">
        <v>636</v>
      </c>
      <c r="N404" s="13">
        <f t="shared" si="195"/>
        <v>3242.6000000000004</v>
      </c>
      <c r="O404" s="13">
        <f t="shared" si="196"/>
        <v>3242.6</v>
      </c>
      <c r="P404" s="13"/>
      <c r="Q404" s="13"/>
      <c r="R404" s="13">
        <f>2984.8+300-36.7-5.5</f>
        <v>3242.6000000000004</v>
      </c>
      <c r="S404" s="13">
        <v>3242.6</v>
      </c>
      <c r="T404" s="13"/>
      <c r="U404" s="13"/>
      <c r="V404" s="13"/>
      <c r="W404" s="13"/>
      <c r="X404" s="13">
        <f t="shared" si="197"/>
        <v>3448.8</v>
      </c>
      <c r="Y404" s="13"/>
      <c r="Z404" s="13">
        <v>3448.8</v>
      </c>
      <c r="AA404" s="13"/>
      <c r="AB404" s="13"/>
      <c r="AC404" s="13">
        <f t="shared" si="198"/>
        <v>3448.8</v>
      </c>
      <c r="AD404" s="13"/>
      <c r="AE404" s="13">
        <v>3448.8</v>
      </c>
      <c r="AF404" s="13"/>
      <c r="AG404" s="13"/>
      <c r="AH404" s="13">
        <f t="shared" si="199"/>
        <v>3448.8</v>
      </c>
      <c r="AI404" s="13"/>
      <c r="AJ404" s="13">
        <v>3448.8</v>
      </c>
      <c r="AK404" s="13"/>
      <c r="AL404" s="13"/>
      <c r="AM404" s="13">
        <f t="shared" si="200"/>
        <v>3448.8</v>
      </c>
      <c r="AN404" s="13"/>
      <c r="AO404" s="13">
        <v>3448.8</v>
      </c>
      <c r="AP404" s="13"/>
      <c r="AQ404" s="13"/>
    </row>
    <row r="405" spans="1:43" ht="35.1" customHeight="1" thickBot="1">
      <c r="A405" s="14"/>
      <c r="B405" s="22"/>
      <c r="C405" s="228"/>
      <c r="D405" s="228"/>
      <c r="E405" s="228"/>
      <c r="F405" s="45"/>
      <c r="G405" s="228"/>
      <c r="H405" s="24"/>
      <c r="I405" s="63"/>
      <c r="J405" s="228"/>
      <c r="K405" s="24"/>
      <c r="L405" s="13"/>
      <c r="M405" s="56" t="s">
        <v>637</v>
      </c>
      <c r="N405" s="13">
        <f t="shared" si="195"/>
        <v>768.9</v>
      </c>
      <c r="O405" s="13">
        <f t="shared" si="196"/>
        <v>768.9</v>
      </c>
      <c r="P405" s="13"/>
      <c r="Q405" s="13"/>
      <c r="R405" s="13">
        <f>1063.3-300+5.6</f>
        <v>768.9</v>
      </c>
      <c r="S405" s="13">
        <v>768.9</v>
      </c>
      <c r="T405" s="13"/>
      <c r="U405" s="13"/>
      <c r="V405" s="13"/>
      <c r="W405" s="13"/>
      <c r="X405" s="13">
        <f t="shared" si="197"/>
        <v>816.4</v>
      </c>
      <c r="Y405" s="13"/>
      <c r="Z405" s="13">
        <v>816.4</v>
      </c>
      <c r="AA405" s="13"/>
      <c r="AB405" s="13"/>
      <c r="AC405" s="13">
        <f t="shared" si="198"/>
        <v>816.4</v>
      </c>
      <c r="AD405" s="13"/>
      <c r="AE405" s="13">
        <v>816.4</v>
      </c>
      <c r="AF405" s="13"/>
      <c r="AG405" s="13"/>
      <c r="AH405" s="13">
        <f t="shared" si="199"/>
        <v>816.4</v>
      </c>
      <c r="AI405" s="13"/>
      <c r="AJ405" s="13">
        <v>816.4</v>
      </c>
      <c r="AK405" s="13"/>
      <c r="AL405" s="13"/>
      <c r="AM405" s="13">
        <f t="shared" si="200"/>
        <v>816.4</v>
      </c>
      <c r="AN405" s="13"/>
      <c r="AO405" s="13">
        <v>816.4</v>
      </c>
      <c r="AP405" s="13"/>
      <c r="AQ405" s="13"/>
    </row>
    <row r="406" spans="1:43" ht="41.25" customHeight="1" thickBot="1">
      <c r="A406" s="17" t="s">
        <v>638</v>
      </c>
      <c r="B406" s="64">
        <v>3260</v>
      </c>
      <c r="C406" s="19"/>
      <c r="D406" s="20"/>
      <c r="E406" s="20"/>
      <c r="F406" s="20"/>
      <c r="G406" s="20"/>
      <c r="H406" s="20"/>
      <c r="I406" s="20"/>
      <c r="J406" s="20"/>
      <c r="K406" s="20"/>
      <c r="L406" s="20">
        <v>5</v>
      </c>
      <c r="M406" s="56"/>
      <c r="N406" s="20">
        <f>N407</f>
        <v>139.09999999999991</v>
      </c>
      <c r="O406" s="20">
        <f t="shared" ref="O406:AQ406" si="201">O407</f>
        <v>139.1</v>
      </c>
      <c r="P406" s="20">
        <f t="shared" si="201"/>
        <v>0</v>
      </c>
      <c r="Q406" s="20">
        <f t="shared" si="201"/>
        <v>0</v>
      </c>
      <c r="R406" s="20">
        <f t="shared" si="201"/>
        <v>139.09999999999991</v>
      </c>
      <c r="S406" s="20">
        <f t="shared" si="201"/>
        <v>139.1</v>
      </c>
      <c r="T406" s="20">
        <f t="shared" si="201"/>
        <v>0</v>
      </c>
      <c r="U406" s="20">
        <f t="shared" si="201"/>
        <v>0</v>
      </c>
      <c r="V406" s="20">
        <f t="shared" si="201"/>
        <v>0</v>
      </c>
      <c r="W406" s="20">
        <f t="shared" si="201"/>
        <v>0</v>
      </c>
      <c r="X406" s="20">
        <f t="shared" si="201"/>
        <v>155.1</v>
      </c>
      <c r="Y406" s="20">
        <f t="shared" si="201"/>
        <v>0</v>
      </c>
      <c r="Z406" s="20">
        <f t="shared" si="201"/>
        <v>155.1</v>
      </c>
      <c r="AA406" s="20">
        <f t="shared" si="201"/>
        <v>0</v>
      </c>
      <c r="AB406" s="20">
        <f t="shared" si="201"/>
        <v>0</v>
      </c>
      <c r="AC406" s="20">
        <f t="shared" si="201"/>
        <v>155.1</v>
      </c>
      <c r="AD406" s="20">
        <f t="shared" si="201"/>
        <v>0</v>
      </c>
      <c r="AE406" s="20">
        <f t="shared" si="201"/>
        <v>155.1</v>
      </c>
      <c r="AF406" s="20">
        <f t="shared" si="201"/>
        <v>0</v>
      </c>
      <c r="AG406" s="20">
        <f t="shared" si="201"/>
        <v>0</v>
      </c>
      <c r="AH406" s="20">
        <f t="shared" si="201"/>
        <v>155.1</v>
      </c>
      <c r="AI406" s="20">
        <f t="shared" si="201"/>
        <v>0</v>
      </c>
      <c r="AJ406" s="20">
        <f t="shared" si="201"/>
        <v>155.1</v>
      </c>
      <c r="AK406" s="20">
        <f t="shared" si="201"/>
        <v>0</v>
      </c>
      <c r="AL406" s="20">
        <f t="shared" si="201"/>
        <v>0</v>
      </c>
      <c r="AM406" s="20">
        <f t="shared" si="201"/>
        <v>155.1</v>
      </c>
      <c r="AN406" s="20">
        <f t="shared" si="201"/>
        <v>0</v>
      </c>
      <c r="AO406" s="20">
        <f t="shared" si="201"/>
        <v>155.1</v>
      </c>
      <c r="AP406" s="20">
        <f t="shared" si="201"/>
        <v>0</v>
      </c>
      <c r="AQ406" s="20">
        <f t="shared" si="201"/>
        <v>0</v>
      </c>
    </row>
    <row r="407" spans="1:43" ht="35.1" customHeight="1" thickBot="1">
      <c r="A407" s="14"/>
      <c r="B407" s="22"/>
      <c r="C407" s="23" t="s">
        <v>489</v>
      </c>
      <c r="D407" s="23" t="s">
        <v>639</v>
      </c>
      <c r="E407" s="23" t="s">
        <v>491</v>
      </c>
      <c r="F407" s="187" t="s">
        <v>885</v>
      </c>
      <c r="G407" s="148" t="s">
        <v>97</v>
      </c>
      <c r="H407" s="187" t="s">
        <v>886</v>
      </c>
      <c r="I407" s="26" t="s">
        <v>889</v>
      </c>
      <c r="J407" s="26" t="s">
        <v>97</v>
      </c>
      <c r="K407" s="26" t="s">
        <v>890</v>
      </c>
      <c r="L407" s="26"/>
      <c r="M407" s="56" t="s">
        <v>640</v>
      </c>
      <c r="N407" s="13">
        <f>P407+R407+T407+V407</f>
        <v>139.09999999999991</v>
      </c>
      <c r="O407" s="13">
        <f>Q407+S407</f>
        <v>139.1</v>
      </c>
      <c r="P407" s="13"/>
      <c r="Q407" s="13"/>
      <c r="R407" s="13">
        <f>3818.6-3669-10.5</f>
        <v>139.09999999999991</v>
      </c>
      <c r="S407" s="13">
        <v>139.1</v>
      </c>
      <c r="T407" s="13"/>
      <c r="U407" s="13"/>
      <c r="V407" s="13"/>
      <c r="W407" s="13"/>
      <c r="X407" s="13">
        <f>Y407+Z407+AA407+AB407</f>
        <v>155.1</v>
      </c>
      <c r="Y407" s="13"/>
      <c r="Z407" s="13">
        <v>155.1</v>
      </c>
      <c r="AA407" s="13"/>
      <c r="AB407" s="13"/>
      <c r="AC407" s="13">
        <f>AD407+AE407+AF407+AG407</f>
        <v>155.1</v>
      </c>
      <c r="AD407" s="13"/>
      <c r="AE407" s="13">
        <v>155.1</v>
      </c>
      <c r="AF407" s="13"/>
      <c r="AG407" s="13"/>
      <c r="AH407" s="13">
        <f>AI407+AJ407+AK407+AL407</f>
        <v>155.1</v>
      </c>
      <c r="AI407" s="13"/>
      <c r="AJ407" s="13">
        <v>155.1</v>
      </c>
      <c r="AK407" s="13"/>
      <c r="AL407" s="13"/>
      <c r="AM407" s="13">
        <f>AN407+AO407+AP407+AQ407</f>
        <v>155.1</v>
      </c>
      <c r="AN407" s="13"/>
      <c r="AO407" s="13">
        <v>155.1</v>
      </c>
      <c r="AP407" s="13"/>
      <c r="AQ407" s="13"/>
    </row>
    <row r="408" spans="1:43" ht="35.1" customHeight="1" thickBot="1">
      <c r="A408" s="86"/>
      <c r="B408" s="22"/>
      <c r="C408" s="199"/>
      <c r="D408" s="240"/>
      <c r="E408" s="220"/>
      <c r="F408" s="26" t="s">
        <v>887</v>
      </c>
      <c r="G408" s="26" t="s">
        <v>97</v>
      </c>
      <c r="H408" s="26" t="s">
        <v>888</v>
      </c>
      <c r="I408" s="249"/>
      <c r="J408" s="249"/>
      <c r="K408" s="249"/>
      <c r="L408" s="26"/>
      <c r="M408" s="56"/>
      <c r="N408" s="13"/>
      <c r="O408" s="13"/>
      <c r="P408" s="13"/>
      <c r="Q408" s="13"/>
      <c r="R408" s="13"/>
      <c r="S408" s="13"/>
      <c r="T408" s="13"/>
      <c r="U408" s="13"/>
      <c r="V408" s="13"/>
      <c r="W408" s="13"/>
      <c r="X408" s="13"/>
      <c r="Y408" s="13"/>
      <c r="Z408" s="13"/>
      <c r="AA408" s="13"/>
      <c r="AB408" s="13"/>
      <c r="AC408" s="13"/>
      <c r="AD408" s="13"/>
      <c r="AE408" s="13"/>
      <c r="AF408" s="13"/>
      <c r="AG408" s="13"/>
      <c r="AH408" s="13"/>
      <c r="AI408" s="13"/>
      <c r="AJ408" s="13"/>
      <c r="AK408" s="13"/>
      <c r="AL408" s="13"/>
      <c r="AM408" s="13"/>
      <c r="AN408" s="13"/>
      <c r="AO408" s="13"/>
      <c r="AP408" s="13"/>
      <c r="AQ408" s="13"/>
    </row>
    <row r="409" spans="1:43" ht="58.5" customHeight="1" thickBot="1">
      <c r="A409" s="71" t="s">
        <v>937</v>
      </c>
      <c r="B409" s="64">
        <v>3285.1</v>
      </c>
      <c r="C409" s="19"/>
      <c r="D409" s="20"/>
      <c r="E409" s="20"/>
      <c r="F409" s="20"/>
      <c r="G409" s="20"/>
      <c r="H409" s="20"/>
      <c r="I409" s="20"/>
      <c r="J409" s="20"/>
      <c r="K409" s="20"/>
      <c r="L409" s="20">
        <v>14</v>
      </c>
      <c r="M409" s="125"/>
      <c r="N409" s="20">
        <f t="shared" ref="N409:V409" si="202">N411+N410</f>
        <v>834.1</v>
      </c>
      <c r="O409" s="20">
        <f t="shared" si="202"/>
        <v>716.1</v>
      </c>
      <c r="P409" s="20">
        <f t="shared" si="202"/>
        <v>0</v>
      </c>
      <c r="Q409" s="20">
        <f t="shared" si="202"/>
        <v>0</v>
      </c>
      <c r="R409" s="20">
        <f t="shared" si="202"/>
        <v>834.1</v>
      </c>
      <c r="S409" s="20">
        <f t="shared" si="202"/>
        <v>716.1</v>
      </c>
      <c r="T409" s="20">
        <f t="shared" si="202"/>
        <v>0</v>
      </c>
      <c r="U409" s="20"/>
      <c r="V409" s="20">
        <f t="shared" si="202"/>
        <v>0</v>
      </c>
      <c r="W409" s="20"/>
      <c r="X409" s="20">
        <f t="shared" ref="X409:AQ409" si="203">X411+X410</f>
        <v>924.6</v>
      </c>
      <c r="Y409" s="20">
        <f t="shared" si="203"/>
        <v>0</v>
      </c>
      <c r="Z409" s="20">
        <f t="shared" si="203"/>
        <v>924.6</v>
      </c>
      <c r="AA409" s="20">
        <f t="shared" si="203"/>
        <v>0</v>
      </c>
      <c r="AB409" s="20">
        <f t="shared" si="203"/>
        <v>0</v>
      </c>
      <c r="AC409" s="20">
        <f t="shared" si="203"/>
        <v>974.6</v>
      </c>
      <c r="AD409" s="20">
        <f t="shared" si="203"/>
        <v>0</v>
      </c>
      <c r="AE409" s="20">
        <f t="shared" si="203"/>
        <v>974.6</v>
      </c>
      <c r="AF409" s="20">
        <f t="shared" si="203"/>
        <v>0</v>
      </c>
      <c r="AG409" s="20">
        <f t="shared" si="203"/>
        <v>0</v>
      </c>
      <c r="AH409" s="20">
        <f t="shared" si="203"/>
        <v>974.6</v>
      </c>
      <c r="AI409" s="20">
        <f t="shared" si="203"/>
        <v>0</v>
      </c>
      <c r="AJ409" s="20">
        <f t="shared" si="203"/>
        <v>974.6</v>
      </c>
      <c r="AK409" s="20">
        <f t="shared" si="203"/>
        <v>0</v>
      </c>
      <c r="AL409" s="20">
        <f t="shared" si="203"/>
        <v>0</v>
      </c>
      <c r="AM409" s="20">
        <f t="shared" si="203"/>
        <v>974.6</v>
      </c>
      <c r="AN409" s="20">
        <f t="shared" si="203"/>
        <v>0</v>
      </c>
      <c r="AO409" s="20">
        <f t="shared" si="203"/>
        <v>974.6</v>
      </c>
      <c r="AP409" s="20">
        <f t="shared" si="203"/>
        <v>0</v>
      </c>
      <c r="AQ409" s="20">
        <f t="shared" si="203"/>
        <v>0</v>
      </c>
    </row>
    <row r="410" spans="1:43" ht="35.1" customHeight="1" thickBot="1">
      <c r="A410" s="14"/>
      <c r="B410" s="22"/>
      <c r="C410" s="307" t="s">
        <v>31</v>
      </c>
      <c r="D410" s="217" t="s">
        <v>85</v>
      </c>
      <c r="E410" s="216" t="s">
        <v>86</v>
      </c>
      <c r="F410" s="187" t="s">
        <v>641</v>
      </c>
      <c r="G410" s="187" t="s">
        <v>35</v>
      </c>
      <c r="H410" s="187" t="s">
        <v>642</v>
      </c>
      <c r="I410" s="13"/>
      <c r="J410" s="13"/>
      <c r="K410" s="13"/>
      <c r="L410" s="13"/>
      <c r="M410" s="56" t="s">
        <v>643</v>
      </c>
      <c r="N410" s="13">
        <f>R410</f>
        <v>112</v>
      </c>
      <c r="O410" s="13">
        <f>Q410+S410</f>
        <v>112</v>
      </c>
      <c r="P410" s="20"/>
      <c r="Q410" s="20"/>
      <c r="R410" s="13">
        <f>95.2+16.8</f>
        <v>112</v>
      </c>
      <c r="S410" s="13">
        <v>112</v>
      </c>
      <c r="T410" s="13"/>
      <c r="U410" s="13"/>
      <c r="V410" s="13"/>
      <c r="W410" s="13"/>
      <c r="X410" s="13">
        <f>Z410</f>
        <v>116.5</v>
      </c>
      <c r="Y410" s="20"/>
      <c r="Z410" s="13">
        <v>116.5</v>
      </c>
      <c r="AA410" s="13"/>
      <c r="AB410" s="13"/>
      <c r="AC410" s="13">
        <f>AE410</f>
        <v>116.5</v>
      </c>
      <c r="AD410" s="20"/>
      <c r="AE410" s="13">
        <v>116.5</v>
      </c>
      <c r="AF410" s="13"/>
      <c r="AG410" s="13"/>
      <c r="AH410" s="13">
        <f>AJ410</f>
        <v>116.5</v>
      </c>
      <c r="AI410" s="13"/>
      <c r="AJ410" s="13">
        <v>116.5</v>
      </c>
      <c r="AK410" s="13"/>
      <c r="AL410" s="13"/>
      <c r="AM410" s="13">
        <f>AO410</f>
        <v>116.5</v>
      </c>
      <c r="AN410" s="13"/>
      <c r="AO410" s="13">
        <v>116.5</v>
      </c>
      <c r="AP410" s="20"/>
      <c r="AQ410" s="20"/>
    </row>
    <row r="411" spans="1:43" ht="35.1" customHeight="1" thickBot="1">
      <c r="A411" s="14"/>
      <c r="B411" s="22"/>
      <c r="C411" s="308"/>
      <c r="D411" s="240"/>
      <c r="E411" s="220"/>
      <c r="F411" s="13"/>
      <c r="G411" s="13"/>
      <c r="H411" s="13"/>
      <c r="I411" s="26"/>
      <c r="J411" s="13"/>
      <c r="K411" s="13"/>
      <c r="L411" s="13"/>
      <c r="M411" s="56" t="s">
        <v>644</v>
      </c>
      <c r="N411" s="13">
        <f>P411+R411+T411+V411</f>
        <v>722.1</v>
      </c>
      <c r="O411" s="13">
        <f>Q411+S411</f>
        <v>604.1</v>
      </c>
      <c r="P411" s="13"/>
      <c r="Q411" s="13"/>
      <c r="R411" s="13">
        <f>915.5-193.4</f>
        <v>722.1</v>
      </c>
      <c r="S411" s="13">
        <v>604.1</v>
      </c>
      <c r="T411" s="13"/>
      <c r="U411" s="13"/>
      <c r="V411" s="13"/>
      <c r="W411" s="13"/>
      <c r="X411" s="13">
        <f>Y411+Z411+AA411+AB411</f>
        <v>808.1</v>
      </c>
      <c r="Y411" s="13"/>
      <c r="Z411" s="13">
        <v>808.1</v>
      </c>
      <c r="AA411" s="13"/>
      <c r="AB411" s="13"/>
      <c r="AC411" s="13">
        <f>AD411+AE411+AF411+AG411</f>
        <v>858.1</v>
      </c>
      <c r="AD411" s="13"/>
      <c r="AE411" s="13">
        <v>858.1</v>
      </c>
      <c r="AF411" s="13"/>
      <c r="AG411" s="13"/>
      <c r="AH411" s="13">
        <f>AI411+AJ411+AK411+AL411</f>
        <v>858.1</v>
      </c>
      <c r="AI411" s="13"/>
      <c r="AJ411" s="13">
        <v>858.1</v>
      </c>
      <c r="AK411" s="13"/>
      <c r="AL411" s="13"/>
      <c r="AM411" s="13">
        <f>AN411+AO411+AP411+AQ411</f>
        <v>858.1</v>
      </c>
      <c r="AN411" s="13"/>
      <c r="AO411" s="13">
        <v>858.1</v>
      </c>
      <c r="AP411" s="13"/>
      <c r="AQ411" s="13"/>
    </row>
    <row r="412" spans="1:43" ht="35.1" customHeight="1" thickBot="1">
      <c r="A412" s="14"/>
      <c r="B412" s="22"/>
      <c r="C412" s="23" t="s">
        <v>489</v>
      </c>
      <c r="D412" s="23" t="s">
        <v>645</v>
      </c>
      <c r="E412" s="23" t="s">
        <v>491</v>
      </c>
      <c r="I412" s="62"/>
      <c r="J412" s="228"/>
      <c r="K412" s="63"/>
      <c r="L412" s="13"/>
      <c r="N412" s="13"/>
      <c r="O412" s="13"/>
      <c r="P412" s="13"/>
      <c r="Q412" s="13"/>
      <c r="R412" s="13"/>
      <c r="S412" s="13"/>
      <c r="T412" s="13"/>
      <c r="U412" s="13"/>
      <c r="V412" s="13"/>
      <c r="W412" s="13"/>
      <c r="X412" s="13"/>
      <c r="Y412" s="13"/>
      <c r="Z412" s="13"/>
      <c r="AA412" s="13"/>
      <c r="AB412" s="13"/>
      <c r="AC412" s="13"/>
      <c r="AD412" s="13"/>
      <c r="AE412" s="13"/>
      <c r="AF412" s="13"/>
      <c r="AG412" s="13"/>
      <c r="AH412" s="20"/>
      <c r="AI412" s="13"/>
      <c r="AJ412" s="13"/>
      <c r="AK412" s="13"/>
      <c r="AL412" s="13"/>
      <c r="AM412" s="20"/>
      <c r="AN412" s="13"/>
      <c r="AO412" s="13"/>
      <c r="AP412" s="13"/>
      <c r="AQ412" s="13"/>
    </row>
    <row r="413" spans="1:43" ht="35.1" customHeight="1" thickBot="1">
      <c r="A413" s="14"/>
      <c r="B413" s="22"/>
      <c r="C413" s="12"/>
      <c r="D413" s="13"/>
      <c r="E413" s="13"/>
      <c r="F413" s="26"/>
      <c r="G413" s="26"/>
      <c r="H413" s="26"/>
      <c r="I413" s="26"/>
      <c r="J413" s="26"/>
      <c r="K413" s="26"/>
      <c r="L413" s="26"/>
      <c r="M413" s="56"/>
      <c r="N413" s="13"/>
      <c r="O413" s="13"/>
      <c r="P413" s="13"/>
      <c r="Q413" s="13"/>
      <c r="R413" s="13"/>
      <c r="S413" s="13"/>
      <c r="T413" s="13"/>
      <c r="U413" s="13"/>
      <c r="V413" s="13"/>
      <c r="W413" s="13"/>
      <c r="X413" s="13"/>
      <c r="Y413" s="13"/>
      <c r="Z413" s="13"/>
      <c r="AA413" s="13"/>
      <c r="AB413" s="13"/>
      <c r="AC413" s="13"/>
      <c r="AD413" s="13"/>
      <c r="AE413" s="13"/>
      <c r="AF413" s="13"/>
      <c r="AG413" s="13"/>
      <c r="AH413" s="13"/>
      <c r="AI413" s="13"/>
      <c r="AJ413" s="13"/>
      <c r="AK413" s="13"/>
      <c r="AL413" s="13"/>
      <c r="AM413" s="13"/>
      <c r="AN413" s="13"/>
      <c r="AO413" s="13"/>
      <c r="AP413" s="13"/>
      <c r="AQ413" s="13"/>
    </row>
    <row r="414" spans="1:43" ht="35.1" customHeight="1" thickBot="1">
      <c r="A414" s="14"/>
      <c r="B414" s="22"/>
      <c r="C414" s="12"/>
      <c r="D414" s="13"/>
      <c r="E414" s="13"/>
      <c r="F414" s="26"/>
      <c r="G414" s="26"/>
      <c r="H414" s="26"/>
      <c r="I414" s="26"/>
      <c r="J414" s="26"/>
      <c r="K414" s="26"/>
      <c r="L414" s="26"/>
      <c r="M414" s="56"/>
      <c r="N414" s="13"/>
      <c r="O414" s="13"/>
      <c r="P414" s="13"/>
      <c r="Q414" s="13"/>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c r="AP414" s="13"/>
      <c r="AQ414" s="13"/>
    </row>
    <row r="415" spans="1:43" ht="35.1" customHeight="1" thickBot="1">
      <c r="A415" s="14"/>
      <c r="B415" s="22"/>
      <c r="C415" s="16" t="s">
        <v>27</v>
      </c>
      <c r="D415" s="16" t="s">
        <v>27</v>
      </c>
      <c r="E415" s="16" t="s">
        <v>27</v>
      </c>
      <c r="F415" s="16"/>
      <c r="G415" s="16"/>
      <c r="H415" s="16"/>
      <c r="I415" s="16" t="s">
        <v>27</v>
      </c>
      <c r="J415" s="16" t="s">
        <v>27</v>
      </c>
      <c r="K415" s="16" t="s">
        <v>27</v>
      </c>
      <c r="L415" s="16" t="s">
        <v>27</v>
      </c>
      <c r="M415" s="56"/>
      <c r="N415" s="13"/>
      <c r="O415" s="13"/>
      <c r="P415" s="13"/>
      <c r="Q415" s="13"/>
      <c r="R415" s="13"/>
      <c r="S415" s="13"/>
      <c r="T415" s="13"/>
      <c r="U415" s="13"/>
      <c r="V415" s="13"/>
      <c r="W415" s="13"/>
      <c r="X415" s="13"/>
      <c r="Y415" s="13"/>
      <c r="Z415" s="13"/>
      <c r="AA415" s="13"/>
      <c r="AB415" s="13"/>
      <c r="AC415" s="13"/>
      <c r="AD415" s="13"/>
      <c r="AE415" s="13"/>
      <c r="AF415" s="13"/>
      <c r="AG415" s="13"/>
      <c r="AH415" s="13"/>
      <c r="AI415" s="13"/>
      <c r="AJ415" s="13"/>
      <c r="AK415" s="13"/>
      <c r="AL415" s="13"/>
      <c r="AM415" s="13"/>
      <c r="AN415" s="13"/>
      <c r="AO415" s="13"/>
      <c r="AP415" s="13"/>
      <c r="AQ415" s="13"/>
    </row>
    <row r="416" spans="1:43" ht="35.1" customHeight="1">
      <c r="A416" s="11" t="s">
        <v>29</v>
      </c>
      <c r="B416" s="136">
        <v>3301</v>
      </c>
      <c r="C416" s="12"/>
      <c r="D416" s="13"/>
      <c r="E416" s="13"/>
      <c r="F416" s="13"/>
      <c r="G416" s="13"/>
      <c r="H416" s="13"/>
      <c r="I416" s="13"/>
      <c r="J416" s="13"/>
      <c r="K416" s="13"/>
      <c r="L416" s="13"/>
      <c r="M416" s="130" t="s">
        <v>27</v>
      </c>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row>
    <row r="417" spans="1:43" ht="35.1" customHeight="1">
      <c r="A417" s="132" t="s">
        <v>517</v>
      </c>
      <c r="B417" s="54"/>
      <c r="C417" s="12"/>
      <c r="D417" s="13"/>
      <c r="E417" s="13"/>
      <c r="F417" s="13"/>
      <c r="G417" s="13"/>
      <c r="H417" s="13"/>
      <c r="I417" s="13"/>
      <c r="J417" s="13"/>
      <c r="K417" s="13"/>
      <c r="L417" s="13"/>
      <c r="M417" s="125"/>
      <c r="N417" s="13"/>
      <c r="O417" s="13"/>
      <c r="P417" s="13"/>
      <c r="Q417" s="13"/>
      <c r="R417" s="13"/>
      <c r="S417" s="13"/>
      <c r="T417" s="13"/>
      <c r="U417" s="13"/>
      <c r="V417" s="13"/>
      <c r="W417" s="13"/>
      <c r="X417" s="13"/>
      <c r="Y417" s="13"/>
      <c r="Z417" s="13"/>
      <c r="AA417" s="13"/>
      <c r="AB417" s="13"/>
      <c r="AC417" s="13"/>
      <c r="AD417" s="13"/>
      <c r="AE417" s="13"/>
      <c r="AF417" s="13"/>
      <c r="AG417" s="13"/>
      <c r="AH417" s="13"/>
      <c r="AI417" s="13"/>
      <c r="AJ417" s="13"/>
      <c r="AK417" s="13"/>
      <c r="AL417" s="13"/>
      <c r="AM417" s="13"/>
      <c r="AN417" s="13"/>
      <c r="AO417" s="13"/>
      <c r="AP417" s="13"/>
      <c r="AQ417" s="13"/>
    </row>
    <row r="418" spans="1:43" ht="35.1" customHeight="1">
      <c r="A418" s="132" t="s">
        <v>517</v>
      </c>
      <c r="B418" s="90">
        <v>3302</v>
      </c>
      <c r="C418" s="12"/>
      <c r="D418" s="13"/>
      <c r="E418" s="13"/>
      <c r="F418" s="13"/>
      <c r="G418" s="13"/>
      <c r="H418" s="13"/>
      <c r="I418" s="13"/>
      <c r="J418" s="13"/>
      <c r="K418" s="13"/>
      <c r="L418" s="13"/>
      <c r="M418" s="125"/>
      <c r="N418" s="13"/>
      <c r="O418" s="13"/>
      <c r="P418" s="13"/>
      <c r="Q418" s="13"/>
      <c r="R418" s="13"/>
      <c r="S418" s="13"/>
      <c r="T418" s="13"/>
      <c r="U418" s="13"/>
      <c r="V418" s="13"/>
      <c r="W418" s="13"/>
      <c r="X418" s="13"/>
      <c r="Y418" s="13"/>
      <c r="Z418" s="13"/>
      <c r="AA418" s="13"/>
      <c r="AB418" s="13"/>
      <c r="AC418" s="13"/>
      <c r="AD418" s="13"/>
      <c r="AE418" s="13"/>
      <c r="AF418" s="13"/>
      <c r="AG418" s="13"/>
      <c r="AH418" s="13"/>
      <c r="AI418" s="13"/>
      <c r="AJ418" s="13"/>
      <c r="AK418" s="13"/>
      <c r="AL418" s="13"/>
      <c r="AM418" s="13"/>
      <c r="AN418" s="13"/>
      <c r="AO418" s="13"/>
      <c r="AP418" s="13"/>
      <c r="AQ418" s="13"/>
    </row>
    <row r="419" spans="1:43" ht="35.1" customHeight="1">
      <c r="A419" s="122" t="s">
        <v>646</v>
      </c>
      <c r="B419" s="115">
        <v>3400</v>
      </c>
      <c r="C419" s="9" t="s">
        <v>27</v>
      </c>
      <c r="D419" s="9" t="s">
        <v>27</v>
      </c>
      <c r="E419" s="9" t="s">
        <v>27</v>
      </c>
      <c r="F419" s="9"/>
      <c r="G419" s="9"/>
      <c r="H419" s="9"/>
      <c r="I419" s="9" t="s">
        <v>27</v>
      </c>
      <c r="J419" s="9" t="s">
        <v>27</v>
      </c>
      <c r="K419" s="9" t="s">
        <v>27</v>
      </c>
      <c r="L419" s="9" t="s">
        <v>27</v>
      </c>
      <c r="M419" s="125"/>
      <c r="N419" s="20">
        <f t="shared" ref="N419:T419" si="204">N421+N427+N432</f>
        <v>634527.10000000009</v>
      </c>
      <c r="O419" s="20">
        <f t="shared" si="204"/>
        <v>634302.80000000005</v>
      </c>
      <c r="P419" s="20">
        <f t="shared" si="204"/>
        <v>0</v>
      </c>
      <c r="Q419" s="20">
        <f t="shared" si="204"/>
        <v>0</v>
      </c>
      <c r="R419" s="20">
        <f t="shared" si="204"/>
        <v>634527.10000000009</v>
      </c>
      <c r="S419" s="20">
        <f t="shared" si="204"/>
        <v>634302.80000000005</v>
      </c>
      <c r="T419" s="20">
        <f t="shared" si="204"/>
        <v>0</v>
      </c>
      <c r="U419" s="20"/>
      <c r="V419" s="20">
        <f>V421+V427+V432</f>
        <v>0</v>
      </c>
      <c r="W419" s="20"/>
      <c r="X419" s="20">
        <f t="shared" ref="X419:AQ419" si="205">X421+X427+X432</f>
        <v>587069.6</v>
      </c>
      <c r="Y419" s="20">
        <f t="shared" si="205"/>
        <v>0</v>
      </c>
      <c r="Z419" s="20">
        <f t="shared" si="205"/>
        <v>587069.6</v>
      </c>
      <c r="AA419" s="20">
        <f t="shared" si="205"/>
        <v>0</v>
      </c>
      <c r="AB419" s="20">
        <f t="shared" si="205"/>
        <v>0</v>
      </c>
      <c r="AC419" s="20">
        <f t="shared" si="205"/>
        <v>584293</v>
      </c>
      <c r="AD419" s="20">
        <f t="shared" si="205"/>
        <v>0</v>
      </c>
      <c r="AE419" s="20">
        <f t="shared" si="205"/>
        <v>584293</v>
      </c>
      <c r="AF419" s="20">
        <f t="shared" si="205"/>
        <v>0</v>
      </c>
      <c r="AG419" s="20">
        <f t="shared" si="205"/>
        <v>0</v>
      </c>
      <c r="AH419" s="20">
        <f t="shared" si="205"/>
        <v>584293</v>
      </c>
      <c r="AI419" s="20">
        <f t="shared" si="205"/>
        <v>0</v>
      </c>
      <c r="AJ419" s="20">
        <f t="shared" si="205"/>
        <v>584293</v>
      </c>
      <c r="AK419" s="20">
        <f t="shared" si="205"/>
        <v>0</v>
      </c>
      <c r="AL419" s="20">
        <f t="shared" si="205"/>
        <v>0</v>
      </c>
      <c r="AM419" s="20">
        <f t="shared" si="205"/>
        <v>584293</v>
      </c>
      <c r="AN419" s="20">
        <f t="shared" si="205"/>
        <v>0</v>
      </c>
      <c r="AO419" s="20">
        <f t="shared" si="205"/>
        <v>584293</v>
      </c>
      <c r="AP419" s="20">
        <f t="shared" si="205"/>
        <v>0</v>
      </c>
      <c r="AQ419" s="20">
        <f t="shared" si="205"/>
        <v>0</v>
      </c>
    </row>
    <row r="420" spans="1:43" ht="35.1" customHeight="1">
      <c r="A420" s="11" t="s">
        <v>29</v>
      </c>
      <c r="B420" s="136">
        <v>3401</v>
      </c>
      <c r="C420" s="12"/>
      <c r="D420" s="13"/>
      <c r="E420" s="13"/>
      <c r="F420" s="13"/>
      <c r="G420" s="13"/>
      <c r="H420" s="13"/>
      <c r="I420" s="13"/>
      <c r="J420" s="13"/>
      <c r="K420" s="13"/>
      <c r="L420" s="13"/>
      <c r="M420" s="123" t="s">
        <v>27</v>
      </c>
      <c r="N420" s="13"/>
      <c r="O420" s="13"/>
      <c r="P420" s="13"/>
      <c r="Q420" s="13"/>
      <c r="R420" s="13"/>
      <c r="S420" s="13"/>
      <c r="T420" s="13"/>
      <c r="U420" s="13"/>
      <c r="V420" s="13"/>
      <c r="W420" s="13"/>
      <c r="X420" s="13"/>
      <c r="Y420" s="13"/>
      <c r="Z420" s="13"/>
      <c r="AA420" s="13"/>
      <c r="AB420" s="13"/>
      <c r="AC420" s="13"/>
      <c r="AD420" s="13"/>
      <c r="AE420" s="13"/>
      <c r="AF420" s="13"/>
      <c r="AG420" s="13"/>
      <c r="AH420" s="13"/>
      <c r="AI420" s="13"/>
      <c r="AJ420" s="13"/>
      <c r="AK420" s="13"/>
      <c r="AL420" s="13"/>
      <c r="AM420" s="13"/>
      <c r="AN420" s="13"/>
      <c r="AO420" s="13"/>
      <c r="AP420" s="13"/>
      <c r="AQ420" s="13"/>
    </row>
    <row r="421" spans="1:43" ht="35.1" customHeight="1" thickBot="1">
      <c r="A421" s="17" t="s">
        <v>647</v>
      </c>
      <c r="B421" s="119"/>
      <c r="C421" s="19"/>
      <c r="D421" s="20"/>
      <c r="E421" s="20"/>
      <c r="F421" s="20"/>
      <c r="G421" s="20"/>
      <c r="H421" s="20"/>
      <c r="I421" s="20"/>
      <c r="J421" s="20"/>
      <c r="K421" s="20"/>
      <c r="L421" s="20">
        <v>6</v>
      </c>
      <c r="M421" s="125"/>
      <c r="N421" s="20">
        <f>N422+N423+N424+N425+N426</f>
        <v>333670.50000000006</v>
      </c>
      <c r="O421" s="20">
        <f t="shared" ref="O421:AQ421" si="206">O422+O423+O424+O425+O426</f>
        <v>333670.5</v>
      </c>
      <c r="P421" s="20">
        <f t="shared" si="206"/>
        <v>0</v>
      </c>
      <c r="Q421" s="20">
        <f t="shared" si="206"/>
        <v>0</v>
      </c>
      <c r="R421" s="20">
        <f t="shared" si="206"/>
        <v>333670.50000000006</v>
      </c>
      <c r="S421" s="20">
        <f t="shared" si="206"/>
        <v>333670.5</v>
      </c>
      <c r="T421" s="20">
        <f t="shared" si="206"/>
        <v>0</v>
      </c>
      <c r="U421" s="20">
        <f t="shared" si="206"/>
        <v>0</v>
      </c>
      <c r="V421" s="20">
        <f t="shared" si="206"/>
        <v>0</v>
      </c>
      <c r="W421" s="20">
        <f t="shared" si="206"/>
        <v>0</v>
      </c>
      <c r="X421" s="20">
        <f t="shared" si="206"/>
        <v>308983.60000000003</v>
      </c>
      <c r="Y421" s="20">
        <f t="shared" si="206"/>
        <v>0</v>
      </c>
      <c r="Z421" s="20">
        <f t="shared" si="206"/>
        <v>308983.60000000003</v>
      </c>
      <c r="AA421" s="20">
        <f t="shared" si="206"/>
        <v>0</v>
      </c>
      <c r="AB421" s="20">
        <f t="shared" si="206"/>
        <v>0</v>
      </c>
      <c r="AC421" s="20">
        <f t="shared" si="206"/>
        <v>306207</v>
      </c>
      <c r="AD421" s="20">
        <f t="shared" si="206"/>
        <v>0</v>
      </c>
      <c r="AE421" s="20">
        <f t="shared" si="206"/>
        <v>306207</v>
      </c>
      <c r="AF421" s="20">
        <f t="shared" si="206"/>
        <v>0</v>
      </c>
      <c r="AG421" s="20">
        <f t="shared" si="206"/>
        <v>0</v>
      </c>
      <c r="AH421" s="20">
        <f t="shared" si="206"/>
        <v>306207</v>
      </c>
      <c r="AI421" s="20">
        <f t="shared" si="206"/>
        <v>0</v>
      </c>
      <c r="AJ421" s="20">
        <f t="shared" si="206"/>
        <v>306207</v>
      </c>
      <c r="AK421" s="20">
        <f t="shared" si="206"/>
        <v>0</v>
      </c>
      <c r="AL421" s="20">
        <f t="shared" si="206"/>
        <v>0</v>
      </c>
      <c r="AM421" s="20">
        <f t="shared" si="206"/>
        <v>306207</v>
      </c>
      <c r="AN421" s="20">
        <f t="shared" si="206"/>
        <v>0</v>
      </c>
      <c r="AO421" s="20">
        <f t="shared" si="206"/>
        <v>306207</v>
      </c>
      <c r="AP421" s="20">
        <f t="shared" si="206"/>
        <v>0</v>
      </c>
      <c r="AQ421" s="20">
        <f t="shared" si="206"/>
        <v>0</v>
      </c>
    </row>
    <row r="422" spans="1:43" ht="35.1" customHeight="1" thickBot="1">
      <c r="A422" s="149"/>
      <c r="B422" s="90"/>
      <c r="C422" s="26" t="s">
        <v>167</v>
      </c>
      <c r="D422" s="26" t="s">
        <v>168</v>
      </c>
      <c r="E422" s="26" t="s">
        <v>169</v>
      </c>
      <c r="F422" s="26" t="s">
        <v>648</v>
      </c>
      <c r="G422" s="26" t="s">
        <v>168</v>
      </c>
      <c r="H422" s="26" t="s">
        <v>649</v>
      </c>
      <c r="I422" s="23" t="s">
        <v>728</v>
      </c>
      <c r="J422" s="228" t="s">
        <v>147</v>
      </c>
      <c r="K422" s="63" t="s">
        <v>753</v>
      </c>
      <c r="L422" s="13"/>
      <c r="M422" s="56" t="s">
        <v>651</v>
      </c>
      <c r="N422" s="13">
        <f t="shared" ref="N422:N423" si="207">P422+R422+T422+V422</f>
        <v>62492.100000000006</v>
      </c>
      <c r="O422" s="13">
        <f t="shared" ref="O422:O426" si="208">Q422+S422</f>
        <v>62492.1</v>
      </c>
      <c r="P422" s="13"/>
      <c r="Q422" s="13"/>
      <c r="R422" s="13">
        <f>48266.8+3067.8+1275.6+2128+7753.9</f>
        <v>62492.100000000006</v>
      </c>
      <c r="S422" s="13">
        <v>62492.1</v>
      </c>
      <c r="T422" s="13"/>
      <c r="U422" s="13"/>
      <c r="V422" s="13"/>
      <c r="W422" s="13"/>
      <c r="X422" s="13">
        <f t="shared" ref="X422:X423" si="209">Y422+Z422+AA422+AB422</f>
        <v>57489</v>
      </c>
      <c r="Y422" s="13"/>
      <c r="Z422" s="13">
        <v>57489</v>
      </c>
      <c r="AA422" s="13"/>
      <c r="AB422" s="13"/>
      <c r="AC422" s="13">
        <f t="shared" ref="AC422:AC423" si="210">AD422+AE422+AF422+AG422</f>
        <v>57489</v>
      </c>
      <c r="AD422" s="13"/>
      <c r="AE422" s="13">
        <v>57489</v>
      </c>
      <c r="AF422" s="13"/>
      <c r="AG422" s="13"/>
      <c r="AH422" s="13">
        <f t="shared" ref="AH422:AH426" si="211">AI422+AJ422+AK422+AL422</f>
        <v>57489</v>
      </c>
      <c r="AI422" s="13"/>
      <c r="AJ422" s="13">
        <v>57489</v>
      </c>
      <c r="AK422" s="13"/>
      <c r="AL422" s="13"/>
      <c r="AM422" s="13">
        <f t="shared" ref="AM422:AM423" si="212">AN422+AO422+AP422+AQ422</f>
        <v>57489</v>
      </c>
      <c r="AN422" s="13"/>
      <c r="AO422" s="13">
        <v>57489</v>
      </c>
      <c r="AP422" s="13"/>
      <c r="AQ422" s="13"/>
    </row>
    <row r="423" spans="1:43" ht="35.1" customHeight="1" thickBot="1">
      <c r="A423" s="149"/>
      <c r="B423" s="90"/>
      <c r="C423" s="23" t="s">
        <v>489</v>
      </c>
      <c r="D423" s="23" t="s">
        <v>650</v>
      </c>
      <c r="E423" s="23" t="s">
        <v>491</v>
      </c>
      <c r="F423" s="207" t="s">
        <v>146</v>
      </c>
      <c r="G423" s="213" t="s">
        <v>147</v>
      </c>
      <c r="H423" s="213" t="s">
        <v>148</v>
      </c>
      <c r="I423" s="45" t="s">
        <v>737</v>
      </c>
      <c r="J423" s="228" t="s">
        <v>147</v>
      </c>
      <c r="K423" s="26" t="s">
        <v>798</v>
      </c>
      <c r="L423" s="13"/>
      <c r="M423" s="56" t="s">
        <v>652</v>
      </c>
      <c r="N423" s="13">
        <f t="shared" si="207"/>
        <v>16370.300000000001</v>
      </c>
      <c r="O423" s="13">
        <f t="shared" si="208"/>
        <v>16370.3</v>
      </c>
      <c r="P423" s="13"/>
      <c r="Q423" s="13"/>
      <c r="R423" s="13">
        <f>13793.7+1039.9+553.5+211.5+771.7</f>
        <v>16370.300000000001</v>
      </c>
      <c r="S423" s="13">
        <v>16370.3</v>
      </c>
      <c r="T423" s="13"/>
      <c r="U423" s="13"/>
      <c r="V423" s="13"/>
      <c r="W423" s="13"/>
      <c r="X423" s="13">
        <f t="shared" si="209"/>
        <v>14900.3</v>
      </c>
      <c r="Y423" s="13"/>
      <c r="Z423" s="13">
        <v>14900.3</v>
      </c>
      <c r="AA423" s="13"/>
      <c r="AB423" s="13"/>
      <c r="AC423" s="13">
        <f t="shared" si="210"/>
        <v>14900.3</v>
      </c>
      <c r="AD423" s="13"/>
      <c r="AE423" s="13">
        <v>14900.3</v>
      </c>
      <c r="AF423" s="13"/>
      <c r="AG423" s="13"/>
      <c r="AH423" s="13">
        <f t="shared" si="211"/>
        <v>14900.3</v>
      </c>
      <c r="AI423" s="13"/>
      <c r="AJ423" s="13">
        <v>14900.3</v>
      </c>
      <c r="AK423" s="13"/>
      <c r="AL423" s="13"/>
      <c r="AM423" s="13">
        <f t="shared" si="212"/>
        <v>14900.3</v>
      </c>
      <c r="AN423" s="13"/>
      <c r="AO423" s="13">
        <v>14900.3</v>
      </c>
      <c r="AP423" s="13"/>
      <c r="AQ423" s="13"/>
    </row>
    <row r="424" spans="1:43" ht="35.1" customHeight="1" thickBot="1">
      <c r="A424" s="149"/>
      <c r="B424" s="90"/>
      <c r="C424" s="26"/>
      <c r="D424" s="26"/>
      <c r="E424" s="26"/>
      <c r="F424" s="26"/>
      <c r="G424" s="26"/>
      <c r="H424" s="26"/>
      <c r="I424" s="45"/>
      <c r="J424" s="228"/>
      <c r="K424" s="26"/>
      <c r="L424" s="13"/>
      <c r="M424" s="56" t="s">
        <v>653</v>
      </c>
      <c r="N424" s="13">
        <f>P424+R424+T424+V424</f>
        <v>198735.10000000003</v>
      </c>
      <c r="O424" s="13">
        <f t="shared" si="208"/>
        <v>198735.1</v>
      </c>
      <c r="P424" s="13"/>
      <c r="Q424" s="13"/>
      <c r="R424" s="13">
        <f>159634.7-1877.5+4569.7+8637.6+0.1+916.6+1630.3+22575.1+2648.5</f>
        <v>198735.10000000003</v>
      </c>
      <c r="S424" s="13">
        <v>198735.1</v>
      </c>
      <c r="T424" s="13"/>
      <c r="U424" s="13"/>
      <c r="V424" s="13"/>
      <c r="W424" s="13"/>
      <c r="X424" s="13">
        <f>Y424+Z424+AA424+AB424</f>
        <v>184480.9</v>
      </c>
      <c r="Y424" s="13"/>
      <c r="Z424" s="13">
        <v>184480.9</v>
      </c>
      <c r="AA424" s="13"/>
      <c r="AB424" s="13"/>
      <c r="AC424" s="13">
        <f>AD424+AE424+AF424+AG424</f>
        <v>182478.5</v>
      </c>
      <c r="AD424" s="13"/>
      <c r="AE424" s="13">
        <v>182478.5</v>
      </c>
      <c r="AF424" s="13"/>
      <c r="AG424" s="13"/>
      <c r="AH424" s="13">
        <f t="shared" si="211"/>
        <v>182478.5</v>
      </c>
      <c r="AI424" s="13"/>
      <c r="AJ424" s="13">
        <v>182478.5</v>
      </c>
      <c r="AK424" s="13"/>
      <c r="AL424" s="13"/>
      <c r="AM424" s="13">
        <f>AN424+AO424+AP424+AQ424</f>
        <v>182478.5</v>
      </c>
      <c r="AN424" s="13"/>
      <c r="AO424" s="13">
        <v>182478.5</v>
      </c>
      <c r="AP424" s="13"/>
      <c r="AQ424" s="13"/>
    </row>
    <row r="425" spans="1:43" ht="35.1" customHeight="1" thickBot="1">
      <c r="A425" s="149"/>
      <c r="B425" s="90"/>
      <c r="C425" s="26"/>
      <c r="D425" s="26"/>
      <c r="E425" s="26"/>
      <c r="F425" s="26"/>
      <c r="G425" s="26"/>
      <c r="H425" s="26"/>
      <c r="I425" s="45"/>
      <c r="J425" s="228"/>
      <c r="K425" s="26"/>
      <c r="L425" s="13"/>
      <c r="M425" s="56" t="s">
        <v>654</v>
      </c>
      <c r="N425" s="13">
        <f>P425+R425+T425+V425</f>
        <v>56073</v>
      </c>
      <c r="O425" s="13">
        <f t="shared" si="208"/>
        <v>56073</v>
      </c>
      <c r="P425" s="13"/>
      <c r="Q425" s="13"/>
      <c r="R425" s="13">
        <f>43915.9-545+1982.9+2719.7+255.1+553.5+6461.6+729.3</f>
        <v>56073</v>
      </c>
      <c r="S425" s="13">
        <v>56073</v>
      </c>
      <c r="T425" s="13"/>
      <c r="U425" s="13"/>
      <c r="V425" s="13"/>
      <c r="W425" s="13"/>
      <c r="X425" s="13">
        <f>Y425+Z425+AA425+AB425</f>
        <v>49816.7</v>
      </c>
      <c r="Y425" s="13"/>
      <c r="Z425" s="13">
        <v>49816.7</v>
      </c>
      <c r="AA425" s="13"/>
      <c r="AB425" s="13"/>
      <c r="AC425" s="13">
        <f>AD425+AE425+AF425+AG425</f>
        <v>49255.4</v>
      </c>
      <c r="AD425" s="13"/>
      <c r="AE425" s="13">
        <v>49255.4</v>
      </c>
      <c r="AF425" s="13"/>
      <c r="AG425" s="13"/>
      <c r="AH425" s="13">
        <f t="shared" si="211"/>
        <v>49255.4</v>
      </c>
      <c r="AI425" s="13"/>
      <c r="AJ425" s="13">
        <v>49255.4</v>
      </c>
      <c r="AK425" s="13"/>
      <c r="AL425" s="13"/>
      <c r="AM425" s="13">
        <f>AN425+AO425+AP425+AQ425</f>
        <v>49255.4</v>
      </c>
      <c r="AN425" s="13"/>
      <c r="AO425" s="13">
        <v>49255.4</v>
      </c>
      <c r="AP425" s="13"/>
      <c r="AQ425" s="13"/>
    </row>
    <row r="426" spans="1:43" ht="35.1" customHeight="1" thickBot="1">
      <c r="A426" s="149"/>
      <c r="B426" s="90"/>
      <c r="C426" s="26"/>
      <c r="D426" s="26"/>
      <c r="E426" s="26"/>
      <c r="F426" s="26"/>
      <c r="G426" s="26"/>
      <c r="H426" s="26"/>
      <c r="I426" s="45"/>
      <c r="J426" s="228"/>
      <c r="K426" s="26"/>
      <c r="L426" s="13"/>
      <c r="M426" s="56" t="s">
        <v>655</v>
      </c>
      <c r="N426" s="13">
        <f>P426+R426+T426+V426</f>
        <v>0</v>
      </c>
      <c r="O426" s="13">
        <f t="shared" si="208"/>
        <v>0</v>
      </c>
      <c r="P426" s="13"/>
      <c r="Q426" s="13"/>
      <c r="R426" s="13">
        <f>49.3-49.3</f>
        <v>0</v>
      </c>
      <c r="S426" s="13">
        <v>0</v>
      </c>
      <c r="T426" s="13"/>
      <c r="U426" s="13"/>
      <c r="V426" s="13"/>
      <c r="W426" s="13"/>
      <c r="X426" s="13">
        <f>Y426+Z426+AA426+AB426</f>
        <v>2296.6999999999998</v>
      </c>
      <c r="Y426" s="13"/>
      <c r="Z426" s="13">
        <v>2296.6999999999998</v>
      </c>
      <c r="AA426" s="13"/>
      <c r="AB426" s="13"/>
      <c r="AC426" s="13">
        <f>AD426+AE426+AF426+AG426</f>
        <v>2083.8000000000002</v>
      </c>
      <c r="AD426" s="13"/>
      <c r="AE426" s="13">
        <v>2083.8000000000002</v>
      </c>
      <c r="AF426" s="13"/>
      <c r="AG426" s="13"/>
      <c r="AH426" s="13">
        <f t="shared" si="211"/>
        <v>2083.8000000000002</v>
      </c>
      <c r="AI426" s="13"/>
      <c r="AJ426" s="13">
        <v>2083.8000000000002</v>
      </c>
      <c r="AK426" s="13"/>
      <c r="AL426" s="13"/>
      <c r="AM426" s="13">
        <f>AN426+AO426+AP426+AQ426</f>
        <v>2083.8000000000002</v>
      </c>
      <c r="AN426" s="13"/>
      <c r="AO426" s="13">
        <v>2083.8000000000002</v>
      </c>
      <c r="AP426" s="13"/>
      <c r="AQ426" s="13"/>
    </row>
    <row r="427" spans="1:43" ht="35.1" customHeight="1">
      <c r="A427" s="84" t="s">
        <v>656</v>
      </c>
      <c r="B427" s="150">
        <v>3403</v>
      </c>
      <c r="C427" s="19"/>
      <c r="D427" s="20"/>
      <c r="E427" s="20"/>
      <c r="F427" s="20"/>
      <c r="G427" s="20"/>
      <c r="H427" s="20"/>
      <c r="I427" s="20"/>
      <c r="J427" s="20"/>
      <c r="K427" s="20"/>
      <c r="L427" s="20">
        <v>6</v>
      </c>
      <c r="M427" s="56"/>
      <c r="N427" s="39">
        <f>N428+N429+N430+N431</f>
        <v>253580.3</v>
      </c>
      <c r="O427" s="39">
        <f t="shared" ref="O427:AQ427" si="213">O428+O429+O430+O431</f>
        <v>253580.3</v>
      </c>
      <c r="P427" s="39">
        <f t="shared" si="213"/>
        <v>0</v>
      </c>
      <c r="Q427" s="39">
        <f t="shared" si="213"/>
        <v>0</v>
      </c>
      <c r="R427" s="39">
        <f t="shared" si="213"/>
        <v>253580.3</v>
      </c>
      <c r="S427" s="39">
        <f t="shared" si="213"/>
        <v>253580.3</v>
      </c>
      <c r="T427" s="39">
        <f t="shared" si="213"/>
        <v>0</v>
      </c>
      <c r="U427" s="39">
        <f t="shared" si="213"/>
        <v>0</v>
      </c>
      <c r="V427" s="39">
        <f t="shared" si="213"/>
        <v>0</v>
      </c>
      <c r="W427" s="39">
        <f t="shared" si="213"/>
        <v>0</v>
      </c>
      <c r="X427" s="39">
        <f t="shared" si="213"/>
        <v>232381.4</v>
      </c>
      <c r="Y427" s="39">
        <f t="shared" si="213"/>
        <v>0</v>
      </c>
      <c r="Z427" s="39">
        <f t="shared" si="213"/>
        <v>232381.4</v>
      </c>
      <c r="AA427" s="39">
        <f t="shared" si="213"/>
        <v>0</v>
      </c>
      <c r="AB427" s="39">
        <f t="shared" si="213"/>
        <v>0</v>
      </c>
      <c r="AC427" s="39">
        <f t="shared" si="213"/>
        <v>232381.4</v>
      </c>
      <c r="AD427" s="39">
        <f t="shared" si="213"/>
        <v>0</v>
      </c>
      <c r="AE427" s="39">
        <f t="shared" si="213"/>
        <v>232381.4</v>
      </c>
      <c r="AF427" s="39">
        <f t="shared" si="213"/>
        <v>0</v>
      </c>
      <c r="AG427" s="39">
        <f t="shared" si="213"/>
        <v>0</v>
      </c>
      <c r="AH427" s="39">
        <f t="shared" si="213"/>
        <v>232381.4</v>
      </c>
      <c r="AI427" s="39">
        <f t="shared" si="213"/>
        <v>0</v>
      </c>
      <c r="AJ427" s="39">
        <f t="shared" si="213"/>
        <v>232381.4</v>
      </c>
      <c r="AK427" s="39">
        <f t="shared" si="213"/>
        <v>0</v>
      </c>
      <c r="AL427" s="39">
        <f t="shared" si="213"/>
        <v>0</v>
      </c>
      <c r="AM427" s="39">
        <f t="shared" si="213"/>
        <v>232381.4</v>
      </c>
      <c r="AN427" s="39">
        <f t="shared" si="213"/>
        <v>0</v>
      </c>
      <c r="AO427" s="39">
        <f t="shared" si="213"/>
        <v>232381.4</v>
      </c>
      <c r="AP427" s="39">
        <f t="shared" si="213"/>
        <v>0</v>
      </c>
      <c r="AQ427" s="39">
        <f t="shared" si="213"/>
        <v>0</v>
      </c>
    </row>
    <row r="428" spans="1:43" ht="35.1" customHeight="1">
      <c r="A428" s="40"/>
      <c r="B428" s="61"/>
      <c r="C428" s="23" t="s">
        <v>489</v>
      </c>
      <c r="D428" s="23" t="s">
        <v>650</v>
      </c>
      <c r="E428" s="23" t="s">
        <v>491</v>
      </c>
      <c r="F428" s="26" t="s">
        <v>648</v>
      </c>
      <c r="G428" s="26" t="s">
        <v>168</v>
      </c>
      <c r="H428" s="26" t="s">
        <v>649</v>
      </c>
      <c r="I428" s="45" t="s">
        <v>737</v>
      </c>
      <c r="J428" s="228" t="s">
        <v>147</v>
      </c>
      <c r="K428" s="24" t="s">
        <v>798</v>
      </c>
      <c r="L428" s="13"/>
      <c r="M428" s="56" t="s">
        <v>657</v>
      </c>
      <c r="N428" s="13">
        <f t="shared" ref="N428:N431" si="214">P428+R428+T428+V428</f>
        <v>64220.9</v>
      </c>
      <c r="O428" s="13">
        <f>Q428+S428</f>
        <v>64220.9</v>
      </c>
      <c r="P428" s="13"/>
      <c r="Q428" s="13"/>
      <c r="R428" s="13">
        <f>55001.4+5429.6+1590+2199.9</f>
        <v>64220.9</v>
      </c>
      <c r="S428" s="13">
        <v>64220.9</v>
      </c>
      <c r="T428" s="13"/>
      <c r="U428" s="13"/>
      <c r="V428" s="13"/>
      <c r="W428" s="13"/>
      <c r="X428" s="13">
        <f>Y428+Z428+AA428+AB428</f>
        <v>57397.7</v>
      </c>
      <c r="Y428" s="13"/>
      <c r="Z428" s="13">
        <v>57397.7</v>
      </c>
      <c r="AA428" s="13"/>
      <c r="AB428" s="13"/>
      <c r="AC428" s="13">
        <f>AD428+AE428+AF428+AG428</f>
        <v>57397.7</v>
      </c>
      <c r="AD428" s="13"/>
      <c r="AE428" s="13">
        <v>57397.7</v>
      </c>
      <c r="AF428" s="13"/>
      <c r="AG428" s="13"/>
      <c r="AH428" s="13">
        <f>AI428+AJ428+AK428+AL428</f>
        <v>57397.7</v>
      </c>
      <c r="AI428" s="13"/>
      <c r="AJ428" s="13">
        <v>57397.7</v>
      </c>
      <c r="AK428" s="13"/>
      <c r="AL428" s="13"/>
      <c r="AM428" s="13">
        <f>AN428+AO428+AP428+AQ428</f>
        <v>57397.7</v>
      </c>
      <c r="AN428" s="13"/>
      <c r="AO428" s="13">
        <v>57397.7</v>
      </c>
      <c r="AP428" s="13"/>
      <c r="AQ428" s="13"/>
    </row>
    <row r="429" spans="1:43" ht="35.1" customHeight="1">
      <c r="A429" s="40"/>
      <c r="B429" s="151"/>
      <c r="C429" s="23" t="s">
        <v>658</v>
      </c>
      <c r="D429" s="23" t="s">
        <v>659</v>
      </c>
      <c r="E429" s="23" t="s">
        <v>660</v>
      </c>
      <c r="F429" s="26"/>
      <c r="G429" s="26"/>
      <c r="H429" s="26"/>
      <c r="I429" s="45"/>
      <c r="J429" s="228"/>
      <c r="K429" s="24"/>
      <c r="L429" s="13"/>
      <c r="M429" s="83" t="s">
        <v>661</v>
      </c>
      <c r="N429" s="13">
        <f t="shared" si="214"/>
        <v>10858.3</v>
      </c>
      <c r="O429" s="13">
        <f t="shared" ref="O429:O431" si="215">Q429+S429</f>
        <v>10858.3</v>
      </c>
      <c r="P429" s="43"/>
      <c r="Q429" s="43"/>
      <c r="R429" s="43">
        <f>9763.4+838.6+256.3</f>
        <v>10858.3</v>
      </c>
      <c r="S429" s="43">
        <v>10858.3</v>
      </c>
      <c r="T429" s="43"/>
      <c r="U429" s="43"/>
      <c r="V429" s="43"/>
      <c r="W429" s="43"/>
      <c r="X429" s="13">
        <f t="shared" ref="X429:X431" si="216">Y429+Z429+AA429+AB429</f>
        <v>11236.9</v>
      </c>
      <c r="Y429" s="43"/>
      <c r="Z429" s="43">
        <v>11236.9</v>
      </c>
      <c r="AA429" s="43"/>
      <c r="AB429" s="43"/>
      <c r="AC429" s="13">
        <f t="shared" ref="AC429:AC431" si="217">AD429+AE429+AF429+AG429</f>
        <v>11236.9</v>
      </c>
      <c r="AD429" s="43"/>
      <c r="AE429" s="43">
        <v>11236.9</v>
      </c>
      <c r="AF429" s="43"/>
      <c r="AG429" s="43"/>
      <c r="AH429" s="13">
        <f t="shared" ref="AH429:AH431" si="218">AI429+AJ429+AK429+AL429</f>
        <v>11236.9</v>
      </c>
      <c r="AI429" s="43"/>
      <c r="AJ429" s="43">
        <v>11236.9</v>
      </c>
      <c r="AK429" s="43"/>
      <c r="AL429" s="43"/>
      <c r="AM429" s="13">
        <f t="shared" ref="AM429:AM431" si="219">AN429+AO429+AP429+AQ429</f>
        <v>11236.9</v>
      </c>
      <c r="AN429" s="43"/>
      <c r="AO429" s="43">
        <v>11236.9</v>
      </c>
      <c r="AP429" s="43"/>
      <c r="AQ429" s="43"/>
    </row>
    <row r="430" spans="1:43" ht="35.1" customHeight="1">
      <c r="A430" s="40"/>
      <c r="B430" s="151"/>
      <c r="C430" s="26"/>
      <c r="D430" s="26"/>
      <c r="E430" s="26"/>
      <c r="F430" s="26"/>
      <c r="G430" s="26"/>
      <c r="H430" s="26"/>
      <c r="I430" s="45"/>
      <c r="J430" s="228"/>
      <c r="K430" s="24"/>
      <c r="L430" s="13"/>
      <c r="M430" s="56" t="s">
        <v>662</v>
      </c>
      <c r="N430" s="13">
        <f t="shared" si="214"/>
        <v>153711.29999999999</v>
      </c>
      <c r="O430" s="13">
        <f t="shared" si="215"/>
        <v>153711.29999999999</v>
      </c>
      <c r="P430" s="13"/>
      <c r="Q430" s="13"/>
      <c r="R430" s="13">
        <v>153711.29999999999</v>
      </c>
      <c r="S430" s="13">
        <v>153711.29999999999</v>
      </c>
      <c r="T430" s="13"/>
      <c r="U430" s="13"/>
      <c r="V430" s="13"/>
      <c r="W430" s="13"/>
      <c r="X430" s="13">
        <f t="shared" si="216"/>
        <v>136406.70000000001</v>
      </c>
      <c r="Y430" s="13"/>
      <c r="Z430" s="13">
        <v>136406.70000000001</v>
      </c>
      <c r="AA430" s="13"/>
      <c r="AB430" s="13"/>
      <c r="AC430" s="13">
        <f t="shared" si="217"/>
        <v>136406.70000000001</v>
      </c>
      <c r="AD430" s="13"/>
      <c r="AE430" s="13">
        <v>136406.70000000001</v>
      </c>
      <c r="AF430" s="13"/>
      <c r="AG430" s="13"/>
      <c r="AH430" s="13">
        <f t="shared" si="218"/>
        <v>136406.70000000001</v>
      </c>
      <c r="AI430" s="13"/>
      <c r="AJ430" s="13">
        <v>136406.70000000001</v>
      </c>
      <c r="AK430" s="13"/>
      <c r="AL430" s="13"/>
      <c r="AM430" s="13">
        <f t="shared" si="219"/>
        <v>136406.70000000001</v>
      </c>
      <c r="AN430" s="13"/>
      <c r="AO430" s="13">
        <v>136406.70000000001</v>
      </c>
      <c r="AP430" s="13"/>
      <c r="AQ430" s="13"/>
    </row>
    <row r="431" spans="1:43" ht="35.1" customHeight="1">
      <c r="A431" s="40"/>
      <c r="B431" s="151"/>
      <c r="C431" s="26"/>
      <c r="D431" s="26"/>
      <c r="E431" s="26"/>
      <c r="F431" s="26"/>
      <c r="G431" s="26"/>
      <c r="H431" s="26"/>
      <c r="I431" s="45"/>
      <c r="J431" s="228"/>
      <c r="K431" s="24"/>
      <c r="L431" s="13"/>
      <c r="M431" s="56" t="s">
        <v>663</v>
      </c>
      <c r="N431" s="13">
        <f t="shared" si="214"/>
        <v>24789.8</v>
      </c>
      <c r="O431" s="13">
        <f t="shared" si="215"/>
        <v>24789.8</v>
      </c>
      <c r="P431" s="13"/>
      <c r="Q431" s="13"/>
      <c r="R431" s="13">
        <v>24789.8</v>
      </c>
      <c r="S431" s="13">
        <v>24789.8</v>
      </c>
      <c r="T431" s="13"/>
      <c r="U431" s="13"/>
      <c r="V431" s="13"/>
      <c r="W431" s="13"/>
      <c r="X431" s="13">
        <f t="shared" si="216"/>
        <v>27340.1</v>
      </c>
      <c r="Y431" s="13"/>
      <c r="Z431" s="13">
        <v>27340.1</v>
      </c>
      <c r="AA431" s="13"/>
      <c r="AB431" s="13"/>
      <c r="AC431" s="13">
        <f t="shared" si="217"/>
        <v>27340.1</v>
      </c>
      <c r="AD431" s="13"/>
      <c r="AE431" s="13">
        <v>27340.1</v>
      </c>
      <c r="AF431" s="13"/>
      <c r="AG431" s="13"/>
      <c r="AH431" s="13">
        <f t="shared" si="218"/>
        <v>27340.1</v>
      </c>
      <c r="AI431" s="13"/>
      <c r="AJ431" s="13">
        <v>27340.1</v>
      </c>
      <c r="AK431" s="13"/>
      <c r="AL431" s="13"/>
      <c r="AM431" s="13">
        <f t="shared" si="219"/>
        <v>27340.1</v>
      </c>
      <c r="AN431" s="13"/>
      <c r="AO431" s="13">
        <v>27340.1</v>
      </c>
      <c r="AP431" s="13"/>
      <c r="AQ431" s="13"/>
    </row>
    <row r="432" spans="1:43" ht="35.1" customHeight="1">
      <c r="A432" s="87" t="s">
        <v>664</v>
      </c>
      <c r="B432" s="152"/>
      <c r="C432" s="82"/>
      <c r="D432" s="82"/>
      <c r="E432" s="82"/>
      <c r="F432" s="82"/>
      <c r="G432" s="82"/>
      <c r="H432" s="82"/>
      <c r="I432" s="114"/>
      <c r="J432" s="120"/>
      <c r="K432" s="75"/>
      <c r="L432" s="20"/>
      <c r="M432" s="56"/>
      <c r="N432" s="20">
        <f>N433+N434+N435</f>
        <v>47276.299999999996</v>
      </c>
      <c r="O432" s="20">
        <f t="shared" ref="O432:AQ432" si="220">O433+O434+O435</f>
        <v>47052</v>
      </c>
      <c r="P432" s="20">
        <f t="shared" si="220"/>
        <v>0</v>
      </c>
      <c r="Q432" s="20">
        <f t="shared" si="220"/>
        <v>0</v>
      </c>
      <c r="R432" s="20">
        <f t="shared" si="220"/>
        <v>47276.299999999996</v>
      </c>
      <c r="S432" s="20">
        <f t="shared" si="220"/>
        <v>47052</v>
      </c>
      <c r="T432" s="20">
        <f t="shared" si="220"/>
        <v>0</v>
      </c>
      <c r="U432" s="20">
        <f t="shared" si="220"/>
        <v>0</v>
      </c>
      <c r="V432" s="20">
        <f t="shared" si="220"/>
        <v>0</v>
      </c>
      <c r="W432" s="20">
        <f t="shared" si="220"/>
        <v>0</v>
      </c>
      <c r="X432" s="20">
        <f t="shared" si="220"/>
        <v>45704.6</v>
      </c>
      <c r="Y432" s="20">
        <f t="shared" si="220"/>
        <v>0</v>
      </c>
      <c r="Z432" s="20">
        <f t="shared" si="220"/>
        <v>45704.6</v>
      </c>
      <c r="AA432" s="20">
        <f t="shared" si="220"/>
        <v>0</v>
      </c>
      <c r="AB432" s="20">
        <f t="shared" si="220"/>
        <v>0</v>
      </c>
      <c r="AC432" s="20">
        <f t="shared" si="220"/>
        <v>45704.6</v>
      </c>
      <c r="AD432" s="20">
        <f t="shared" si="220"/>
        <v>0</v>
      </c>
      <c r="AE432" s="20">
        <f t="shared" si="220"/>
        <v>45704.6</v>
      </c>
      <c r="AF432" s="20">
        <f t="shared" si="220"/>
        <v>0</v>
      </c>
      <c r="AG432" s="20">
        <f t="shared" si="220"/>
        <v>0</v>
      </c>
      <c r="AH432" s="20">
        <f t="shared" si="220"/>
        <v>45704.6</v>
      </c>
      <c r="AI432" s="20">
        <f t="shared" si="220"/>
        <v>0</v>
      </c>
      <c r="AJ432" s="20">
        <f t="shared" si="220"/>
        <v>45704.6</v>
      </c>
      <c r="AK432" s="20">
        <f t="shared" si="220"/>
        <v>0</v>
      </c>
      <c r="AL432" s="20">
        <f t="shared" si="220"/>
        <v>0</v>
      </c>
      <c r="AM432" s="20">
        <f t="shared" si="220"/>
        <v>45704.6</v>
      </c>
      <c r="AN432" s="20">
        <f t="shared" si="220"/>
        <v>0</v>
      </c>
      <c r="AO432" s="20">
        <f t="shared" si="220"/>
        <v>45704.6</v>
      </c>
      <c r="AP432" s="20">
        <f t="shared" si="220"/>
        <v>0</v>
      </c>
      <c r="AQ432" s="20">
        <f t="shared" si="220"/>
        <v>0</v>
      </c>
    </row>
    <row r="433" spans="1:43" ht="35.1" customHeight="1" thickBot="1">
      <c r="A433" s="149"/>
      <c r="B433" s="90"/>
      <c r="C433" s="23" t="s">
        <v>658</v>
      </c>
      <c r="D433" s="23" t="s">
        <v>659</v>
      </c>
      <c r="E433" s="23" t="s">
        <v>660</v>
      </c>
      <c r="F433" s="26" t="s">
        <v>648</v>
      </c>
      <c r="G433" s="26" t="s">
        <v>168</v>
      </c>
      <c r="H433" s="26" t="s">
        <v>649</v>
      </c>
      <c r="I433" s="45" t="s">
        <v>737</v>
      </c>
      <c r="J433" s="228" t="s">
        <v>147</v>
      </c>
      <c r="K433" s="26" t="s">
        <v>798</v>
      </c>
      <c r="L433" s="13"/>
      <c r="M433" s="56" t="s">
        <v>665</v>
      </c>
      <c r="N433" s="13">
        <f>P433+R433+T433+V433</f>
        <v>35286.699999999997</v>
      </c>
      <c r="O433" s="13">
        <f>Q433+S433</f>
        <v>35286.699999999997</v>
      </c>
      <c r="P433" s="13"/>
      <c r="Q433" s="13"/>
      <c r="R433" s="13">
        <f>27302.8+285+316+804.7+1173.8+5404.4</f>
        <v>35286.699999999997</v>
      </c>
      <c r="S433" s="13">
        <v>35286.699999999997</v>
      </c>
      <c r="T433" s="13"/>
      <c r="U433" s="13"/>
      <c r="V433" s="13"/>
      <c r="W433" s="13"/>
      <c r="X433" s="13">
        <f>Y433+Z433+AA433+AB433</f>
        <v>32624.799999999999</v>
      </c>
      <c r="Y433" s="13"/>
      <c r="Z433" s="13">
        <v>32624.799999999999</v>
      </c>
      <c r="AA433" s="13"/>
      <c r="AB433" s="13"/>
      <c r="AC433" s="13">
        <f>AD433+AE433+AF433+AG433</f>
        <v>32624.799999999999</v>
      </c>
      <c r="AD433" s="13"/>
      <c r="AE433" s="13">
        <v>32624.799999999999</v>
      </c>
      <c r="AF433" s="13"/>
      <c r="AG433" s="13"/>
      <c r="AH433" s="13">
        <f>AI433+AJ433+AK433+AL433</f>
        <v>32624.799999999999</v>
      </c>
      <c r="AI433" s="13"/>
      <c r="AJ433" s="13">
        <v>32624.799999999999</v>
      </c>
      <c r="AK433" s="13"/>
      <c r="AL433" s="13"/>
      <c r="AM433" s="13">
        <f>AN433+AO433+AP433+AQ433</f>
        <v>32624.799999999999</v>
      </c>
      <c r="AN433" s="13"/>
      <c r="AO433" s="13">
        <v>32624.799999999999</v>
      </c>
      <c r="AP433" s="13"/>
      <c r="AQ433" s="13"/>
    </row>
    <row r="434" spans="1:43" ht="35.1" customHeight="1">
      <c r="A434" s="86"/>
      <c r="B434" s="54"/>
      <c r="C434" s="23" t="s">
        <v>489</v>
      </c>
      <c r="D434" s="23" t="s">
        <v>650</v>
      </c>
      <c r="E434" s="23" t="s">
        <v>491</v>
      </c>
      <c r="F434" s="26"/>
      <c r="G434" s="26"/>
      <c r="H434" s="26"/>
      <c r="I434" s="45"/>
      <c r="J434" s="228"/>
      <c r="K434" s="26"/>
      <c r="L434" s="13"/>
      <c r="M434" s="56" t="s">
        <v>666</v>
      </c>
      <c r="N434" s="13">
        <f>P434+R434+T434+V434</f>
        <v>11765.4</v>
      </c>
      <c r="O434" s="13">
        <f>Q434+S434</f>
        <v>11765.3</v>
      </c>
      <c r="P434" s="13"/>
      <c r="Q434" s="13"/>
      <c r="R434" s="13">
        <f>9247.3+349.2+397.5+1771.4</f>
        <v>11765.4</v>
      </c>
      <c r="S434" s="13">
        <v>11765.3</v>
      </c>
      <c r="T434" s="13"/>
      <c r="U434" s="13"/>
      <c r="V434" s="13"/>
      <c r="W434" s="13"/>
      <c r="X434" s="13">
        <f>Y434+Z434+AA434+AB434</f>
        <v>11979.1</v>
      </c>
      <c r="Y434" s="13"/>
      <c r="Z434" s="13">
        <v>11979.1</v>
      </c>
      <c r="AA434" s="13"/>
      <c r="AB434" s="13"/>
      <c r="AC434" s="13">
        <f>AD434+AE434+AF434+AG434</f>
        <v>11979.1</v>
      </c>
      <c r="AD434" s="13"/>
      <c r="AE434" s="13">
        <v>11979.1</v>
      </c>
      <c r="AF434" s="13"/>
      <c r="AG434" s="13"/>
      <c r="AH434" s="13">
        <f>AI434+AJ434+AK434+AL434</f>
        <v>11979.1</v>
      </c>
      <c r="AI434" s="13"/>
      <c r="AJ434" s="13">
        <v>11979.1</v>
      </c>
      <c r="AK434" s="13"/>
      <c r="AL434" s="13"/>
      <c r="AM434" s="13">
        <f>AN434+AO434+AP434+AQ434</f>
        <v>11979.1</v>
      </c>
      <c r="AN434" s="13"/>
      <c r="AO434" s="13">
        <v>11979.1</v>
      </c>
      <c r="AP434" s="13"/>
      <c r="AQ434" s="13"/>
    </row>
    <row r="435" spans="1:43" ht="35.1" customHeight="1">
      <c r="A435" s="86"/>
      <c r="B435" s="54"/>
      <c r="C435" s="26"/>
      <c r="D435" s="26"/>
      <c r="E435" s="26"/>
      <c r="F435" s="26"/>
      <c r="G435" s="26"/>
      <c r="H435" s="26"/>
      <c r="I435" s="45"/>
      <c r="J435" s="228"/>
      <c r="K435" s="26"/>
      <c r="L435" s="13"/>
      <c r="M435" s="56" t="s">
        <v>667</v>
      </c>
      <c r="N435" s="13">
        <f>P435+R435+T435+V435</f>
        <v>224.20000000000027</v>
      </c>
      <c r="O435" s="13">
        <f>Q435+S435</f>
        <v>0</v>
      </c>
      <c r="P435" s="13"/>
      <c r="Q435" s="13"/>
      <c r="R435" s="13">
        <f>2137.4+487.9-2401.1</f>
        <v>224.20000000000027</v>
      </c>
      <c r="S435" s="13">
        <v>0</v>
      </c>
      <c r="T435" s="13"/>
      <c r="U435" s="13"/>
      <c r="V435" s="13"/>
      <c r="W435" s="13"/>
      <c r="X435" s="13">
        <f>Y435+Z435+AA435+AB435</f>
        <v>1100.7</v>
      </c>
      <c r="Y435" s="13"/>
      <c r="Z435" s="13">
        <v>1100.7</v>
      </c>
      <c r="AA435" s="13"/>
      <c r="AB435" s="13"/>
      <c r="AC435" s="13">
        <f>AD435+AE435+AF435+AG435</f>
        <v>1100.7</v>
      </c>
      <c r="AD435" s="13"/>
      <c r="AE435" s="13">
        <v>1100.7</v>
      </c>
      <c r="AF435" s="13"/>
      <c r="AG435" s="13"/>
      <c r="AH435" s="13">
        <f>AI435+AJ435+AK435+AL435</f>
        <v>1100.7</v>
      </c>
      <c r="AI435" s="13"/>
      <c r="AJ435" s="13">
        <v>1100.7</v>
      </c>
      <c r="AK435" s="13"/>
      <c r="AL435" s="13"/>
      <c r="AM435" s="13">
        <f>AN435+AO435+AP435+AQ435</f>
        <v>1100.7</v>
      </c>
      <c r="AN435" s="13"/>
      <c r="AO435" s="13">
        <v>1100.7</v>
      </c>
      <c r="AP435" s="13"/>
      <c r="AQ435" s="13"/>
    </row>
    <row r="436" spans="1:43" ht="35.1" customHeight="1">
      <c r="A436" s="8" t="s">
        <v>668</v>
      </c>
      <c r="B436" s="119">
        <v>3500</v>
      </c>
      <c r="C436" s="9" t="s">
        <v>27</v>
      </c>
      <c r="D436" s="9" t="s">
        <v>27</v>
      </c>
      <c r="E436" s="9" t="s">
        <v>27</v>
      </c>
      <c r="F436" s="9"/>
      <c r="G436" s="9"/>
      <c r="H436" s="9"/>
      <c r="I436" s="9" t="s">
        <v>27</v>
      </c>
      <c r="J436" s="9" t="s">
        <v>27</v>
      </c>
      <c r="K436" s="9" t="s">
        <v>27</v>
      </c>
      <c r="L436" s="9" t="s">
        <v>27</v>
      </c>
      <c r="M436" s="56"/>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0"/>
      <c r="AN436" s="20"/>
      <c r="AO436" s="20"/>
      <c r="AP436" s="20"/>
      <c r="AQ436" s="20"/>
    </row>
    <row r="437" spans="1:43" ht="35.1" customHeight="1">
      <c r="A437" s="89" t="s">
        <v>669</v>
      </c>
      <c r="B437" s="90">
        <v>3501</v>
      </c>
      <c r="C437" s="16" t="s">
        <v>27</v>
      </c>
      <c r="D437" s="16" t="s">
        <v>27</v>
      </c>
      <c r="E437" s="16" t="s">
        <v>27</v>
      </c>
      <c r="F437" s="16"/>
      <c r="G437" s="16"/>
      <c r="H437" s="16"/>
      <c r="I437" s="16" t="s">
        <v>27</v>
      </c>
      <c r="J437" s="16" t="s">
        <v>27</v>
      </c>
      <c r="K437" s="16" t="s">
        <v>27</v>
      </c>
      <c r="L437" s="16" t="s">
        <v>27</v>
      </c>
      <c r="M437" s="123" t="s">
        <v>27</v>
      </c>
      <c r="N437" s="13"/>
      <c r="O437" s="13"/>
      <c r="P437" s="13"/>
      <c r="Q437" s="13"/>
      <c r="R437" s="13"/>
      <c r="S437" s="13"/>
      <c r="T437" s="13"/>
      <c r="U437" s="13"/>
      <c r="V437" s="13"/>
      <c r="W437" s="13"/>
      <c r="X437" s="13"/>
      <c r="Y437" s="13"/>
      <c r="Z437" s="13"/>
      <c r="AA437" s="13"/>
      <c r="AB437" s="13"/>
      <c r="AC437" s="13"/>
      <c r="AD437" s="13"/>
      <c r="AE437" s="13"/>
      <c r="AF437" s="13"/>
      <c r="AG437" s="13"/>
      <c r="AH437" s="13"/>
      <c r="AI437" s="13"/>
      <c r="AJ437" s="13"/>
      <c r="AK437" s="13"/>
      <c r="AL437" s="13"/>
      <c r="AM437" s="13"/>
      <c r="AN437" s="13"/>
      <c r="AO437" s="13"/>
      <c r="AP437" s="13"/>
      <c r="AQ437" s="13"/>
    </row>
    <row r="438" spans="1:43" ht="35.1" customHeight="1">
      <c r="A438" s="8" t="s">
        <v>670</v>
      </c>
      <c r="B438" s="115">
        <v>3502</v>
      </c>
      <c r="C438" s="9" t="s">
        <v>27</v>
      </c>
      <c r="D438" s="9" t="s">
        <v>27</v>
      </c>
      <c r="E438" s="9" t="s">
        <v>27</v>
      </c>
      <c r="F438" s="9"/>
      <c r="G438" s="9"/>
      <c r="H438" s="9"/>
      <c r="I438" s="9" t="s">
        <v>27</v>
      </c>
      <c r="J438" s="9" t="s">
        <v>27</v>
      </c>
      <c r="K438" s="9" t="s">
        <v>27</v>
      </c>
      <c r="L438" s="9" t="s">
        <v>27</v>
      </c>
      <c r="M438" s="130" t="s">
        <v>27</v>
      </c>
      <c r="N438" s="20"/>
      <c r="O438" s="20"/>
      <c r="P438" s="20"/>
      <c r="Q438" s="20"/>
      <c r="R438" s="20"/>
      <c r="S438" s="20"/>
      <c r="T438" s="20"/>
      <c r="U438" s="20"/>
      <c r="V438" s="20"/>
      <c r="W438" s="20"/>
      <c r="X438" s="20"/>
      <c r="Y438" s="20"/>
      <c r="Z438" s="20"/>
      <c r="AA438" s="20"/>
      <c r="AB438" s="20"/>
      <c r="AC438" s="20"/>
      <c r="AD438" s="20"/>
      <c r="AE438" s="20"/>
      <c r="AF438" s="20"/>
      <c r="AG438" s="20"/>
      <c r="AH438" s="20"/>
      <c r="AI438" s="20"/>
      <c r="AJ438" s="20"/>
      <c r="AK438" s="20"/>
      <c r="AL438" s="20"/>
      <c r="AM438" s="20"/>
      <c r="AN438" s="20"/>
      <c r="AO438" s="20"/>
      <c r="AP438" s="20"/>
      <c r="AQ438" s="20"/>
    </row>
    <row r="439" spans="1:43" ht="35.1" customHeight="1">
      <c r="A439" s="11" t="s">
        <v>29</v>
      </c>
      <c r="B439" s="136">
        <v>3503</v>
      </c>
      <c r="C439" s="12"/>
      <c r="D439" s="13"/>
      <c r="E439" s="13"/>
      <c r="F439" s="13"/>
      <c r="G439" s="13"/>
      <c r="H439" s="13"/>
      <c r="I439" s="13"/>
      <c r="J439" s="13"/>
      <c r="K439" s="13"/>
      <c r="L439" s="13"/>
      <c r="M439" s="123" t="s">
        <v>27</v>
      </c>
      <c r="N439" s="13"/>
      <c r="O439" s="13"/>
      <c r="P439" s="13"/>
      <c r="Q439" s="13"/>
      <c r="R439" s="13"/>
      <c r="S439" s="13"/>
      <c r="T439" s="13"/>
      <c r="U439" s="13"/>
      <c r="V439" s="13"/>
      <c r="W439" s="13"/>
      <c r="X439" s="13"/>
      <c r="Y439" s="13"/>
      <c r="Z439" s="13"/>
      <c r="AA439" s="13"/>
      <c r="AB439" s="13"/>
      <c r="AC439" s="13"/>
      <c r="AD439" s="13"/>
      <c r="AE439" s="13"/>
      <c r="AF439" s="13"/>
      <c r="AG439" s="13"/>
      <c r="AH439" s="13"/>
      <c r="AI439" s="13"/>
      <c r="AJ439" s="13"/>
      <c r="AK439" s="13"/>
      <c r="AL439" s="13"/>
      <c r="AM439" s="13"/>
      <c r="AN439" s="13"/>
      <c r="AO439" s="13"/>
      <c r="AP439" s="13"/>
      <c r="AQ439" s="13"/>
    </row>
    <row r="440" spans="1:43" ht="35.1" customHeight="1">
      <c r="A440" s="122" t="s">
        <v>671</v>
      </c>
      <c r="B440" s="119"/>
      <c r="C440" s="19"/>
      <c r="D440" s="20"/>
      <c r="E440" s="20"/>
      <c r="F440" s="20"/>
      <c r="G440" s="20"/>
      <c r="H440" s="20"/>
      <c r="I440" s="20"/>
      <c r="J440" s="20"/>
      <c r="K440" s="20"/>
      <c r="L440" s="20"/>
      <c r="M440" s="125"/>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0"/>
      <c r="AN440" s="20"/>
      <c r="AO440" s="20"/>
      <c r="AP440" s="20"/>
      <c r="AQ440" s="20"/>
    </row>
    <row r="441" spans="1:43" ht="35.1" customHeight="1">
      <c r="A441" s="153" t="s">
        <v>672</v>
      </c>
      <c r="B441" s="115">
        <v>3600</v>
      </c>
      <c r="C441" s="9" t="s">
        <v>27</v>
      </c>
      <c r="D441" s="9" t="s">
        <v>27</v>
      </c>
      <c r="E441" s="9" t="s">
        <v>27</v>
      </c>
      <c r="F441" s="9"/>
      <c r="G441" s="9"/>
      <c r="H441" s="9"/>
      <c r="I441" s="9" t="s">
        <v>27</v>
      </c>
      <c r="J441" s="9" t="s">
        <v>27</v>
      </c>
      <c r="K441" s="9" t="s">
        <v>27</v>
      </c>
      <c r="L441" s="9" t="s">
        <v>27</v>
      </c>
      <c r="M441" s="116"/>
      <c r="N441" s="20">
        <f>P441+R441+T441+V441</f>
        <v>0</v>
      </c>
      <c r="O441" s="20"/>
      <c r="P441" s="20"/>
      <c r="Q441" s="20"/>
      <c r="R441" s="20"/>
      <c r="S441" s="20"/>
      <c r="T441" s="20"/>
      <c r="U441" s="20"/>
      <c r="V441" s="20"/>
      <c r="W441" s="20"/>
      <c r="X441" s="20">
        <f>Y441+Z441+AA441+AB441</f>
        <v>0</v>
      </c>
      <c r="Y441" s="20"/>
      <c r="Z441" s="20"/>
      <c r="AA441" s="20"/>
      <c r="AB441" s="20">
        <v>0</v>
      </c>
      <c r="AC441" s="20">
        <f>AD441+AE441+AF441+AG441</f>
        <v>34423.300000000003</v>
      </c>
      <c r="AD441" s="20"/>
      <c r="AE441" s="20"/>
      <c r="AF441" s="20"/>
      <c r="AG441" s="20">
        <v>34423.300000000003</v>
      </c>
      <c r="AH441" s="20">
        <f>AL441</f>
        <v>125783.3</v>
      </c>
      <c r="AI441" s="20"/>
      <c r="AJ441" s="20"/>
      <c r="AK441" s="20"/>
      <c r="AL441" s="20">
        <v>125783.3</v>
      </c>
      <c r="AM441" s="20">
        <f>AQ441</f>
        <v>125783.3</v>
      </c>
      <c r="AN441" s="20"/>
      <c r="AO441" s="20"/>
      <c r="AP441" s="20"/>
      <c r="AQ441" s="20">
        <v>125783.3</v>
      </c>
    </row>
    <row r="442" spans="1:43" ht="35.1" customHeight="1">
      <c r="A442" s="8" t="s">
        <v>673</v>
      </c>
      <c r="B442" s="115">
        <v>10600</v>
      </c>
      <c r="C442" s="9" t="s">
        <v>27</v>
      </c>
      <c r="D442" s="9" t="s">
        <v>27</v>
      </c>
      <c r="E442" s="9" t="s">
        <v>27</v>
      </c>
      <c r="F442" s="9"/>
      <c r="G442" s="9"/>
      <c r="H442" s="9"/>
      <c r="I442" s="9" t="s">
        <v>27</v>
      </c>
      <c r="J442" s="9" t="s">
        <v>27</v>
      </c>
      <c r="K442" s="9" t="s">
        <v>27</v>
      </c>
      <c r="L442" s="9" t="s">
        <v>27</v>
      </c>
      <c r="M442" s="123" t="s">
        <v>27</v>
      </c>
      <c r="N442" s="10">
        <f t="shared" ref="N442:AQ442" si="221">N14+N229+N321+N343+N419</f>
        <v>2508152.5999999996</v>
      </c>
      <c r="O442" s="10">
        <f t="shared" si="221"/>
        <v>2305134.9999999995</v>
      </c>
      <c r="P442" s="10">
        <f t="shared" si="221"/>
        <v>72229.3</v>
      </c>
      <c r="Q442" s="10">
        <f t="shared" si="221"/>
        <v>72125.899999999994</v>
      </c>
      <c r="R442" s="10">
        <f t="shared" si="221"/>
        <v>1174735.2000000002</v>
      </c>
      <c r="S442" s="10">
        <f t="shared" si="221"/>
        <v>1099380.9000000001</v>
      </c>
      <c r="T442" s="10">
        <f t="shared" si="221"/>
        <v>148.80000000000001</v>
      </c>
      <c r="U442" s="10">
        <f t="shared" si="221"/>
        <v>148.80000000000001</v>
      </c>
      <c r="V442" s="10">
        <f t="shared" si="221"/>
        <v>1261039.2999999998</v>
      </c>
      <c r="W442" s="10">
        <f t="shared" si="221"/>
        <v>1133479.3999999999</v>
      </c>
      <c r="X442" s="10">
        <f t="shared" si="221"/>
        <v>1867992.9</v>
      </c>
      <c r="Y442" s="10">
        <f t="shared" si="221"/>
        <v>47620.2</v>
      </c>
      <c r="Z442" s="10">
        <f t="shared" si="221"/>
        <v>682776.5</v>
      </c>
      <c r="AA442" s="10">
        <f t="shared" si="221"/>
        <v>1300</v>
      </c>
      <c r="AB442" s="10">
        <f t="shared" si="221"/>
        <v>1136296.1999999997</v>
      </c>
      <c r="AC442" s="10">
        <f t="shared" si="221"/>
        <v>1936437.5999999999</v>
      </c>
      <c r="AD442" s="10">
        <f t="shared" si="221"/>
        <v>41887.600000000006</v>
      </c>
      <c r="AE442" s="10">
        <f t="shared" si="221"/>
        <v>838072.5</v>
      </c>
      <c r="AF442" s="10">
        <f t="shared" si="221"/>
        <v>1300</v>
      </c>
      <c r="AG442" s="10">
        <f t="shared" si="221"/>
        <v>1055177.4999999998</v>
      </c>
      <c r="AH442" s="10">
        <f t="shared" si="221"/>
        <v>1754802.5</v>
      </c>
      <c r="AI442" s="10">
        <f t="shared" si="221"/>
        <v>32913.199999999997</v>
      </c>
      <c r="AJ442" s="10">
        <f t="shared" si="221"/>
        <v>667426.80000000005</v>
      </c>
      <c r="AK442" s="10">
        <f t="shared" si="221"/>
        <v>1300</v>
      </c>
      <c r="AL442" s="10">
        <f t="shared" si="221"/>
        <v>1053162.5</v>
      </c>
      <c r="AM442" s="10">
        <f t="shared" si="221"/>
        <v>1754802.5</v>
      </c>
      <c r="AN442" s="10">
        <f t="shared" si="221"/>
        <v>32913.199999999997</v>
      </c>
      <c r="AO442" s="10">
        <f t="shared" si="221"/>
        <v>667426.80000000005</v>
      </c>
      <c r="AP442" s="10">
        <f t="shared" si="221"/>
        <v>1300</v>
      </c>
      <c r="AQ442" s="10">
        <f t="shared" si="221"/>
        <v>1053162.5</v>
      </c>
    </row>
    <row r="443" spans="1:43" ht="35.1" customHeight="1">
      <c r="A443" s="154" t="s">
        <v>674</v>
      </c>
      <c r="B443" s="131">
        <v>10700</v>
      </c>
      <c r="C443" s="155" t="s">
        <v>27</v>
      </c>
      <c r="D443" s="155" t="s">
        <v>27</v>
      </c>
      <c r="E443" s="155" t="s">
        <v>27</v>
      </c>
      <c r="F443" s="155"/>
      <c r="G443" s="155"/>
      <c r="H443" s="155"/>
      <c r="I443" s="155" t="s">
        <v>27</v>
      </c>
      <c r="J443" s="155" t="s">
        <v>27</v>
      </c>
      <c r="K443" s="155" t="s">
        <v>27</v>
      </c>
      <c r="L443" s="155" t="s">
        <v>27</v>
      </c>
      <c r="M443" s="156" t="s">
        <v>27</v>
      </c>
      <c r="N443" s="157">
        <f t="shared" ref="N443:AQ443" si="222">N14+N229+N321+N343+N419+N436+N441</f>
        <v>2508152.5999999996</v>
      </c>
      <c r="O443" s="157">
        <f t="shared" si="222"/>
        <v>2305134.9999999995</v>
      </c>
      <c r="P443" s="157">
        <f t="shared" si="222"/>
        <v>72229.3</v>
      </c>
      <c r="Q443" s="157">
        <f t="shared" si="222"/>
        <v>72125.899999999994</v>
      </c>
      <c r="R443" s="157">
        <f t="shared" si="222"/>
        <v>1174735.2000000002</v>
      </c>
      <c r="S443" s="157">
        <f t="shared" si="222"/>
        <v>1099380.9000000001</v>
      </c>
      <c r="T443" s="157">
        <f t="shared" si="222"/>
        <v>148.80000000000001</v>
      </c>
      <c r="U443" s="157">
        <f t="shared" si="222"/>
        <v>148.80000000000001</v>
      </c>
      <c r="V443" s="157">
        <f t="shared" si="222"/>
        <v>1261039.2999999998</v>
      </c>
      <c r="W443" s="157">
        <f t="shared" si="222"/>
        <v>1133479.3999999999</v>
      </c>
      <c r="X443" s="10">
        <f t="shared" si="222"/>
        <v>1867992.9</v>
      </c>
      <c r="Y443" s="10">
        <f t="shared" si="222"/>
        <v>47620.2</v>
      </c>
      <c r="Z443" s="10">
        <f t="shared" si="222"/>
        <v>682776.5</v>
      </c>
      <c r="AA443" s="10">
        <f t="shared" si="222"/>
        <v>1300</v>
      </c>
      <c r="AB443" s="10">
        <f t="shared" si="222"/>
        <v>1136296.1999999997</v>
      </c>
      <c r="AC443" s="10">
        <f t="shared" si="222"/>
        <v>1970860.9</v>
      </c>
      <c r="AD443" s="10">
        <f t="shared" si="222"/>
        <v>41887.600000000006</v>
      </c>
      <c r="AE443" s="10">
        <f t="shared" si="222"/>
        <v>838072.5</v>
      </c>
      <c r="AF443" s="10">
        <f t="shared" si="222"/>
        <v>1300</v>
      </c>
      <c r="AG443" s="10">
        <f t="shared" si="222"/>
        <v>1089600.7999999998</v>
      </c>
      <c r="AH443" s="10">
        <f t="shared" si="222"/>
        <v>1880585.8</v>
      </c>
      <c r="AI443" s="10">
        <f t="shared" si="222"/>
        <v>32913.199999999997</v>
      </c>
      <c r="AJ443" s="10">
        <f t="shared" si="222"/>
        <v>667426.80000000005</v>
      </c>
      <c r="AK443" s="10">
        <f t="shared" si="222"/>
        <v>1300</v>
      </c>
      <c r="AL443" s="10">
        <f t="shared" si="222"/>
        <v>1178945.8</v>
      </c>
      <c r="AM443" s="10">
        <f t="shared" si="222"/>
        <v>1880585.8</v>
      </c>
      <c r="AN443" s="10">
        <f t="shared" si="222"/>
        <v>32913.199999999997</v>
      </c>
      <c r="AO443" s="10">
        <f t="shared" si="222"/>
        <v>667426.80000000005</v>
      </c>
      <c r="AP443" s="10">
        <f t="shared" si="222"/>
        <v>1300</v>
      </c>
      <c r="AQ443" s="10">
        <f t="shared" si="222"/>
        <v>1178945.8</v>
      </c>
    </row>
    <row r="444" spans="1:43" ht="35.1" customHeight="1">
      <c r="A444" s="158"/>
      <c r="B444" s="126"/>
      <c r="C444" s="126"/>
      <c r="D444" s="126"/>
      <c r="E444" s="126"/>
      <c r="F444" s="126"/>
      <c r="G444" s="126"/>
      <c r="H444" s="126"/>
      <c r="I444" s="126"/>
      <c r="J444" s="126"/>
      <c r="K444" s="126"/>
      <c r="L444" s="126"/>
      <c r="M444" s="126"/>
      <c r="N444" s="159"/>
      <c r="O444" s="159"/>
      <c r="P444" s="159"/>
      <c r="Q444" s="159"/>
      <c r="R444" s="159"/>
      <c r="S444" s="159"/>
      <c r="T444" s="159"/>
      <c r="U444" s="159"/>
      <c r="V444" s="159"/>
      <c r="W444" s="159"/>
      <c r="X444" s="161"/>
      <c r="Y444" s="161"/>
      <c r="Z444" s="161"/>
      <c r="AA444" s="161"/>
      <c r="AB444" s="161"/>
      <c r="AC444" s="161"/>
      <c r="AD444" s="161"/>
      <c r="AE444" s="161"/>
      <c r="AF444" s="161"/>
      <c r="AG444" s="161"/>
      <c r="AH444" s="161"/>
      <c r="AI444" s="161"/>
      <c r="AJ444" s="161"/>
      <c r="AK444" s="161"/>
      <c r="AL444" s="161"/>
      <c r="AM444" s="161"/>
      <c r="AN444" s="161"/>
      <c r="AO444" s="161"/>
      <c r="AP444" s="161"/>
      <c r="AQ444" s="161"/>
    </row>
    <row r="445" spans="1:43" ht="35.1" customHeight="1">
      <c r="A445" s="160"/>
      <c r="B445" s="110"/>
      <c r="C445" s="110"/>
      <c r="D445" s="110"/>
      <c r="E445" s="110"/>
      <c r="F445" s="110"/>
      <c r="G445" s="110"/>
      <c r="H445" s="110"/>
      <c r="I445" s="110"/>
      <c r="J445" s="110"/>
      <c r="K445" s="110"/>
      <c r="L445" s="110"/>
      <c r="M445" s="110"/>
      <c r="N445" s="161"/>
      <c r="O445" s="161"/>
      <c r="P445" s="161"/>
      <c r="Q445" s="161"/>
      <c r="R445" s="161"/>
      <c r="S445" s="161"/>
      <c r="T445" s="161"/>
      <c r="U445" s="161"/>
      <c r="V445" s="161"/>
      <c r="W445" s="161"/>
      <c r="X445" s="347" t="s">
        <v>690</v>
      </c>
      <c r="Y445" s="348"/>
      <c r="Z445" s="348"/>
      <c r="AA445" s="348"/>
      <c r="AB445" s="348"/>
      <c r="AC445" s="348"/>
      <c r="AD445" s="348"/>
      <c r="AE445" s="348"/>
      <c r="AF445" s="161"/>
      <c r="AG445" s="161"/>
      <c r="AH445" s="161"/>
      <c r="AI445" s="161"/>
      <c r="AJ445" s="161"/>
      <c r="AK445" s="161"/>
      <c r="AL445" s="161"/>
      <c r="AM445" s="161"/>
      <c r="AN445" s="161"/>
      <c r="AO445" s="161"/>
      <c r="AP445" s="161"/>
      <c r="AQ445" s="161"/>
    </row>
    <row r="446" spans="1:43" ht="35.1" customHeight="1">
      <c r="A446" s="160"/>
      <c r="B446" s="110"/>
      <c r="C446" s="110"/>
      <c r="D446" s="110"/>
      <c r="E446" s="110"/>
      <c r="F446" s="110"/>
      <c r="G446" s="110"/>
      <c r="H446" s="110"/>
      <c r="I446" s="110"/>
      <c r="J446" s="110"/>
      <c r="K446" s="110"/>
      <c r="L446" s="110"/>
      <c r="M446" s="110"/>
      <c r="N446" s="161"/>
      <c r="O446" s="161"/>
      <c r="P446" s="161"/>
      <c r="Q446" s="161"/>
      <c r="R446" s="161"/>
      <c r="S446" s="161"/>
      <c r="T446" s="161"/>
      <c r="U446" s="161"/>
      <c r="V446" s="161"/>
      <c r="W446" s="161"/>
      <c r="X446" s="349"/>
      <c r="Y446" s="349"/>
      <c r="Z446" s="349"/>
      <c r="AA446" s="349"/>
      <c r="AB446" s="349"/>
      <c r="AC446" s="349"/>
      <c r="AD446" s="349"/>
      <c r="AE446" s="349"/>
      <c r="AF446" s="110"/>
      <c r="AG446" s="110"/>
      <c r="AH446" s="110"/>
      <c r="AI446" s="110"/>
      <c r="AJ446" s="110"/>
      <c r="AK446" s="110"/>
      <c r="AL446" s="110"/>
      <c r="AM446" s="161"/>
      <c r="AN446" s="161"/>
      <c r="AO446" s="161"/>
      <c r="AP446" s="161"/>
      <c r="AQ446" s="161"/>
    </row>
    <row r="447" spans="1:43" ht="35.1" customHeight="1">
      <c r="A447" s="162"/>
      <c r="B447" s="140"/>
      <c r="C447" s="163"/>
      <c r="D447" s="164"/>
      <c r="E447" s="164"/>
      <c r="F447" s="164"/>
      <c r="G447" s="164"/>
      <c r="H447" s="164"/>
      <c r="I447" s="164"/>
      <c r="J447" s="164"/>
      <c r="K447" s="164"/>
      <c r="L447" s="164"/>
      <c r="M447" s="110"/>
      <c r="N447" s="164"/>
      <c r="O447" s="164"/>
      <c r="P447" s="164"/>
      <c r="Q447" s="164"/>
      <c r="R447" s="164"/>
      <c r="S447" s="164"/>
      <c r="T447" s="164"/>
      <c r="U447" s="164"/>
      <c r="V447" s="164"/>
      <c r="W447" s="164"/>
      <c r="X447" s="164"/>
      <c r="Y447" s="164"/>
      <c r="Z447" s="164"/>
      <c r="AA447" s="164"/>
      <c r="AB447" s="164"/>
      <c r="AC447" s="164"/>
      <c r="AD447" s="164"/>
      <c r="AE447" s="164"/>
      <c r="AF447" s="164"/>
      <c r="AG447" s="164"/>
      <c r="AH447" s="164"/>
      <c r="AI447" s="163"/>
      <c r="AJ447" s="164"/>
      <c r="AK447" s="164"/>
      <c r="AL447" s="164"/>
      <c r="AM447" s="164"/>
      <c r="AN447" s="164"/>
      <c r="AO447" s="164"/>
      <c r="AP447" s="164"/>
      <c r="AQ447" s="164"/>
    </row>
    <row r="448" spans="1:43" ht="35.1" hidden="1" customHeight="1">
      <c r="A448" s="162"/>
      <c r="B448" s="140"/>
      <c r="C448" s="163"/>
      <c r="D448" s="164"/>
      <c r="E448" s="164"/>
      <c r="F448" s="164"/>
      <c r="G448" s="164"/>
      <c r="H448" s="164"/>
      <c r="I448" s="164"/>
      <c r="J448" s="164"/>
      <c r="K448" s="164"/>
      <c r="L448" s="164"/>
      <c r="M448" s="164"/>
      <c r="N448" s="162"/>
      <c r="O448" s="164"/>
      <c r="P448" s="164"/>
      <c r="Q448" s="164"/>
      <c r="R448" s="164"/>
      <c r="S448" s="164"/>
      <c r="T448" s="164"/>
      <c r="U448" s="164"/>
      <c r="V448" s="162"/>
      <c r="W448" s="162"/>
      <c r="X448" s="164"/>
      <c r="Y448" s="164"/>
      <c r="Z448" s="164"/>
      <c r="AA448" s="164"/>
      <c r="AB448" s="164"/>
      <c r="AC448" s="164"/>
      <c r="AD448" s="164"/>
      <c r="AE448" s="164"/>
      <c r="AF448" s="164"/>
      <c r="AG448" s="164"/>
      <c r="AH448" s="164"/>
      <c r="AI448" s="164"/>
      <c r="AJ448" s="164"/>
      <c r="AK448" s="164"/>
      <c r="AL448" s="164"/>
      <c r="AM448" s="164"/>
      <c r="AN448" s="164"/>
      <c r="AO448" s="164"/>
      <c r="AP448" s="164"/>
      <c r="AQ448" s="164"/>
    </row>
    <row r="449" spans="1:43" ht="35.1" hidden="1" customHeight="1">
      <c r="A449" s="164"/>
      <c r="B449" s="329"/>
      <c r="C449" s="329"/>
      <c r="D449" s="329"/>
      <c r="E449" s="165"/>
      <c r="F449" s="165"/>
      <c r="G449" s="166"/>
      <c r="H449" s="166"/>
      <c r="I449" s="166"/>
      <c r="J449" s="166"/>
      <c r="K449" s="166"/>
      <c r="L449" s="166"/>
      <c r="M449" s="164"/>
      <c r="N449" s="166"/>
      <c r="O449" s="166"/>
      <c r="P449" s="166"/>
      <c r="Q449" s="166"/>
      <c r="R449" s="166"/>
      <c r="S449" s="166"/>
      <c r="T449" s="166">
        <f>T343+T419+T436</f>
        <v>0</v>
      </c>
      <c r="U449" s="166"/>
      <c r="V449" s="166">
        <f>V343+V419+V436</f>
        <v>0</v>
      </c>
      <c r="W449" s="166"/>
      <c r="X449" s="166">
        <f t="shared" ref="X449:AQ449" si="223">X343+X419+X436</f>
        <v>663367.19999999995</v>
      </c>
      <c r="Y449" s="166">
        <f t="shared" si="223"/>
        <v>11377.8</v>
      </c>
      <c r="Z449" s="166">
        <f t="shared" si="223"/>
        <v>651989.4</v>
      </c>
      <c r="AA449" s="166">
        <f t="shared" si="223"/>
        <v>0</v>
      </c>
      <c r="AB449" s="166">
        <f t="shared" si="223"/>
        <v>0</v>
      </c>
      <c r="AC449" s="166">
        <f t="shared" si="223"/>
        <v>659716.80000000005</v>
      </c>
      <c r="AD449" s="166">
        <f t="shared" si="223"/>
        <v>11509.5</v>
      </c>
      <c r="AE449" s="166">
        <f t="shared" si="223"/>
        <v>648207.30000000005</v>
      </c>
      <c r="AF449" s="166">
        <f t="shared" si="223"/>
        <v>0</v>
      </c>
      <c r="AG449" s="166">
        <f t="shared" si="223"/>
        <v>0</v>
      </c>
      <c r="AH449" s="166">
        <f t="shared" si="223"/>
        <v>659820.30000000005</v>
      </c>
      <c r="AI449" s="166">
        <f t="shared" si="223"/>
        <v>12910.599999999999</v>
      </c>
      <c r="AJ449" s="166">
        <f t="shared" si="223"/>
        <v>646909.69999999995</v>
      </c>
      <c r="AK449" s="166">
        <f t="shared" si="223"/>
        <v>0</v>
      </c>
      <c r="AL449" s="166">
        <f t="shared" si="223"/>
        <v>0</v>
      </c>
      <c r="AM449" s="166">
        <f t="shared" si="223"/>
        <v>659820.30000000005</v>
      </c>
      <c r="AN449" s="166">
        <f t="shared" si="223"/>
        <v>12910.599999999999</v>
      </c>
      <c r="AO449" s="166">
        <f t="shared" si="223"/>
        <v>646909.69999999995</v>
      </c>
      <c r="AP449" s="166">
        <f t="shared" si="223"/>
        <v>0</v>
      </c>
      <c r="AQ449" s="166">
        <f t="shared" si="223"/>
        <v>0</v>
      </c>
    </row>
    <row r="450" spans="1:43" ht="35.1" hidden="1" customHeight="1">
      <c r="A450" s="164"/>
      <c r="B450" s="329"/>
      <c r="C450" s="329"/>
      <c r="D450" s="329"/>
      <c r="E450" s="329"/>
      <c r="F450" s="329"/>
      <c r="G450" s="329"/>
      <c r="H450" s="329"/>
      <c r="I450" s="329"/>
      <c r="J450" s="329"/>
      <c r="K450" s="329"/>
      <c r="L450" s="166"/>
      <c r="M450" s="166" t="s">
        <v>675</v>
      </c>
      <c r="N450" s="166"/>
      <c r="O450" s="166"/>
      <c r="P450" s="166"/>
      <c r="Q450" s="166"/>
      <c r="R450" s="166"/>
      <c r="S450" s="166"/>
      <c r="T450" s="166"/>
      <c r="U450" s="166"/>
      <c r="V450" s="166"/>
      <c r="W450" s="166"/>
      <c r="X450" s="166">
        <f>X451-X449</f>
        <v>0</v>
      </c>
      <c r="Y450" s="166"/>
      <c r="Z450" s="166"/>
      <c r="AA450" s="166"/>
      <c r="AB450" s="166"/>
      <c r="AC450" s="166">
        <f>AC451-AC449</f>
        <v>0</v>
      </c>
      <c r="AD450" s="166"/>
      <c r="AE450" s="166"/>
      <c r="AF450" s="166"/>
      <c r="AG450" s="166"/>
      <c r="AH450" s="166">
        <f>AH451-AH449</f>
        <v>0</v>
      </c>
      <c r="AI450" s="166"/>
      <c r="AJ450" s="166"/>
      <c r="AK450" s="166"/>
      <c r="AL450" s="166"/>
      <c r="AM450" s="166">
        <f>AM451-AM449</f>
        <v>0</v>
      </c>
      <c r="AN450" s="166"/>
      <c r="AO450" s="166"/>
      <c r="AP450" s="166"/>
      <c r="AQ450" s="166"/>
    </row>
    <row r="451" spans="1:43" ht="35.1" hidden="1" customHeight="1">
      <c r="A451" s="164"/>
      <c r="B451" s="140"/>
      <c r="C451" s="163"/>
      <c r="D451" s="140"/>
      <c r="E451" s="164"/>
      <c r="F451" s="164"/>
      <c r="G451" s="164"/>
      <c r="H451" s="164"/>
      <c r="I451" s="164"/>
      <c r="J451" s="164"/>
      <c r="K451" s="164"/>
      <c r="L451" s="164"/>
      <c r="M451" s="166" t="s">
        <v>676</v>
      </c>
      <c r="N451" s="164"/>
      <c r="O451" s="164"/>
      <c r="P451" s="164"/>
      <c r="Q451" s="164"/>
      <c r="R451" s="164"/>
      <c r="S451" s="164"/>
      <c r="T451" s="164"/>
      <c r="U451" s="164"/>
      <c r="V451" s="164"/>
      <c r="W451" s="164"/>
      <c r="X451" s="164">
        <v>663367.19999999995</v>
      </c>
      <c r="Y451" s="164"/>
      <c r="Z451" s="164"/>
      <c r="AA451" s="164"/>
      <c r="AB451" s="164"/>
      <c r="AC451" s="164">
        <v>659716.80000000005</v>
      </c>
      <c r="AD451" s="164"/>
      <c r="AE451" s="164"/>
      <c r="AF451" s="164"/>
      <c r="AG451" s="164"/>
      <c r="AH451" s="164">
        <v>659820.30000000005</v>
      </c>
      <c r="AI451" s="164"/>
      <c r="AJ451" s="164"/>
      <c r="AK451" s="164"/>
      <c r="AL451" s="164"/>
      <c r="AM451" s="164">
        <v>659820.30000000005</v>
      </c>
      <c r="AN451" s="164"/>
      <c r="AO451" s="164"/>
      <c r="AP451" s="164"/>
      <c r="AQ451" s="164"/>
    </row>
    <row r="452" spans="1:43" ht="35.1" hidden="1" customHeight="1">
      <c r="A452" s="164"/>
      <c r="B452" s="140"/>
      <c r="C452" s="163"/>
      <c r="D452" s="140"/>
      <c r="E452" s="164"/>
      <c r="F452" s="164"/>
      <c r="G452" s="164"/>
      <c r="H452" s="164"/>
      <c r="I452" s="164"/>
      <c r="J452" s="164"/>
      <c r="K452" s="164"/>
      <c r="L452" s="164"/>
      <c r="N452" s="163"/>
      <c r="O452" s="163"/>
      <c r="P452" s="164"/>
      <c r="Q452" s="164"/>
      <c r="R452" s="164"/>
      <c r="S452" s="164"/>
      <c r="T452" s="164"/>
      <c r="U452" s="164"/>
      <c r="V452" s="164"/>
      <c r="W452" s="164"/>
      <c r="X452" s="163"/>
      <c r="Y452" s="164"/>
      <c r="Z452" s="164"/>
      <c r="AA452" s="164"/>
      <c r="AB452" s="164"/>
      <c r="AC452" s="163"/>
      <c r="AD452" s="164"/>
      <c r="AE452" s="164"/>
      <c r="AF452" s="164"/>
      <c r="AG452" s="164"/>
      <c r="AH452" s="164"/>
      <c r="AI452" s="164"/>
      <c r="AJ452" s="164"/>
      <c r="AK452" s="164"/>
      <c r="AL452" s="164"/>
      <c r="AM452" s="164"/>
      <c r="AN452" s="164"/>
      <c r="AO452" s="164"/>
      <c r="AP452" s="164"/>
      <c r="AQ452" s="164"/>
    </row>
    <row r="453" spans="1:43" ht="35.1" hidden="1" customHeight="1">
      <c r="A453" s="1"/>
      <c r="B453" s="5"/>
      <c r="C453" s="6"/>
      <c r="D453" s="5"/>
      <c r="E453" s="1"/>
      <c r="F453" s="1"/>
      <c r="G453" s="1"/>
      <c r="H453" s="1"/>
      <c r="I453" s="1"/>
      <c r="J453" s="1"/>
      <c r="K453" s="1"/>
      <c r="L453" s="1"/>
      <c r="M453" s="167" t="s">
        <v>677</v>
      </c>
      <c r="N453" s="168">
        <f>N454-N443</f>
        <v>0</v>
      </c>
      <c r="O453" s="168"/>
      <c r="P453" s="168"/>
      <c r="Q453" s="168"/>
      <c r="R453" s="168"/>
      <c r="S453" s="168"/>
      <c r="T453" s="168"/>
      <c r="U453" s="168"/>
      <c r="V453" s="168"/>
      <c r="W453" s="168"/>
      <c r="X453" s="168">
        <f>X454-X443</f>
        <v>0</v>
      </c>
      <c r="Y453" s="168"/>
      <c r="Z453" s="168"/>
      <c r="AA453" s="168"/>
      <c r="AB453" s="168"/>
      <c r="AC453" s="168">
        <f>AC454-AC443</f>
        <v>0</v>
      </c>
      <c r="AD453" s="168"/>
      <c r="AE453" s="168"/>
      <c r="AF453" s="168"/>
      <c r="AG453" s="168"/>
      <c r="AH453" s="168">
        <f>AH454-AH443</f>
        <v>0</v>
      </c>
      <c r="AI453" s="168"/>
      <c r="AJ453" s="168"/>
      <c r="AK453" s="168"/>
      <c r="AM453" s="168">
        <f>AM454-AM443</f>
        <v>0</v>
      </c>
      <c r="AN453" s="168"/>
      <c r="AO453" s="168"/>
      <c r="AP453" s="168"/>
    </row>
    <row r="454" spans="1:43" ht="35.1" hidden="1" customHeight="1">
      <c r="A454" s="1"/>
      <c r="B454" s="5"/>
      <c r="C454" s="6"/>
      <c r="D454" s="5"/>
      <c r="E454" s="1"/>
      <c r="F454" s="1"/>
      <c r="G454" s="1"/>
      <c r="H454" s="1"/>
      <c r="I454" s="1"/>
      <c r="J454" s="1"/>
      <c r="K454" s="1"/>
      <c r="L454" s="1"/>
      <c r="M454" s="1" t="s">
        <v>678</v>
      </c>
      <c r="N454" s="169">
        <v>2508152.6</v>
      </c>
      <c r="O454" s="169"/>
      <c r="P454" s="21"/>
      <c r="Q454" s="21"/>
      <c r="R454" s="21"/>
      <c r="S454" s="21"/>
      <c r="T454" s="21"/>
      <c r="U454" s="21"/>
      <c r="V454" s="21"/>
      <c r="W454" s="21"/>
      <c r="X454" s="169">
        <v>1867992.9</v>
      </c>
      <c r="Y454" s="21"/>
      <c r="Z454" s="21"/>
      <c r="AA454" s="21"/>
      <c r="AB454" s="21"/>
      <c r="AC454" s="169">
        <v>1970860.9</v>
      </c>
      <c r="AD454" s="21"/>
      <c r="AE454" s="21"/>
      <c r="AF454" s="21"/>
      <c r="AG454" s="21"/>
      <c r="AH454" s="169">
        <v>1880585.8</v>
      </c>
      <c r="AI454" s="21"/>
      <c r="AJ454" s="21"/>
      <c r="AK454" s="21"/>
      <c r="AL454" s="21"/>
      <c r="AM454" s="169">
        <v>1880585.8</v>
      </c>
      <c r="AN454" s="21"/>
      <c r="AO454" s="21"/>
      <c r="AP454" s="21"/>
      <c r="AQ454" s="21"/>
    </row>
    <row r="455" spans="1:43" ht="35.1" hidden="1" customHeight="1">
      <c r="A455" s="21"/>
      <c r="B455" s="21"/>
      <c r="C455" s="21"/>
      <c r="D455" s="21"/>
      <c r="E455" s="21"/>
      <c r="F455" s="21"/>
      <c r="G455" s="21"/>
      <c r="H455" s="21"/>
      <c r="I455" s="21"/>
      <c r="J455" s="21"/>
      <c r="K455" s="21"/>
      <c r="L455" s="21"/>
      <c r="N455" s="21">
        <v>2025</v>
      </c>
      <c r="O455" s="21"/>
      <c r="P455" s="21"/>
      <c r="Q455" s="21"/>
      <c r="R455" s="21"/>
      <c r="S455" s="21"/>
      <c r="T455" s="21"/>
      <c r="U455" s="21"/>
      <c r="V455" s="21"/>
      <c r="W455" s="21"/>
      <c r="X455" s="21">
        <v>2026</v>
      </c>
      <c r="Y455" s="21"/>
      <c r="Z455" s="21"/>
      <c r="AA455" s="21"/>
      <c r="AB455" s="21"/>
      <c r="AC455" s="21">
        <v>2027</v>
      </c>
      <c r="AD455" s="21"/>
      <c r="AE455" s="21"/>
      <c r="AF455" s="21"/>
      <c r="AG455" s="21"/>
      <c r="AH455" s="21">
        <v>2028</v>
      </c>
      <c r="AI455" s="21"/>
      <c r="AJ455" s="21"/>
      <c r="AK455" s="21"/>
      <c r="AL455" s="21"/>
      <c r="AM455" s="21">
        <v>2029</v>
      </c>
      <c r="AN455" s="21"/>
      <c r="AO455" s="21"/>
      <c r="AP455" s="21"/>
      <c r="AQ455" s="21"/>
    </row>
    <row r="456" spans="1:43" ht="35.1" customHeight="1">
      <c r="A456" s="170"/>
      <c r="B456" s="170"/>
      <c r="C456" s="170"/>
      <c r="D456" s="170"/>
      <c r="E456" s="170"/>
      <c r="F456" s="170"/>
      <c r="G456" s="170"/>
      <c r="H456" s="170"/>
      <c r="I456" s="170"/>
      <c r="J456" s="170"/>
      <c r="K456" s="170"/>
      <c r="L456" s="170"/>
      <c r="M456" s="170"/>
      <c r="N456" s="170"/>
      <c r="O456" s="170"/>
      <c r="P456" s="170"/>
      <c r="Q456" s="170"/>
      <c r="R456" s="170"/>
      <c r="S456" s="170"/>
      <c r="T456" s="170"/>
      <c r="U456" s="170"/>
      <c r="V456" s="170"/>
      <c r="W456" s="170"/>
      <c r="X456" s="170"/>
      <c r="Y456" s="170"/>
      <c r="Z456" s="170"/>
      <c r="AA456" s="170"/>
      <c r="AB456" s="170"/>
      <c r="AC456" s="170"/>
      <c r="AD456" s="170"/>
      <c r="AE456" s="170"/>
      <c r="AF456" s="170"/>
      <c r="AG456" s="170"/>
      <c r="AH456" s="170"/>
      <c r="AI456" s="170"/>
      <c r="AJ456" s="170"/>
      <c r="AK456" s="170"/>
      <c r="AL456" s="170"/>
      <c r="AM456" s="170"/>
      <c r="AN456" s="170"/>
      <c r="AO456" s="170"/>
      <c r="AP456" s="170"/>
      <c r="AQ456" s="170"/>
    </row>
    <row r="457" spans="1:43" ht="35.1" customHeight="1">
      <c r="A457" s="170"/>
      <c r="B457" s="170"/>
      <c r="C457" s="170"/>
      <c r="D457" s="170"/>
      <c r="E457" s="170"/>
      <c r="F457" s="170"/>
      <c r="G457" s="170"/>
      <c r="H457" s="170"/>
      <c r="I457" s="170"/>
      <c r="J457" s="170"/>
      <c r="K457" s="170"/>
      <c r="L457" s="170"/>
      <c r="M457" s="164"/>
      <c r="N457" s="170"/>
      <c r="O457" s="170"/>
      <c r="P457" s="170"/>
      <c r="Q457" s="170"/>
      <c r="R457" s="170"/>
      <c r="S457" s="170"/>
      <c r="T457" s="170"/>
      <c r="U457" s="170"/>
      <c r="V457" s="170"/>
      <c r="W457" s="170"/>
      <c r="X457" s="170"/>
      <c r="Y457" s="170"/>
      <c r="Z457" s="170"/>
      <c r="AA457" s="170"/>
      <c r="AB457" s="170"/>
      <c r="AC457" s="170"/>
      <c r="AD457" s="170"/>
      <c r="AE457" s="170"/>
      <c r="AF457" s="170"/>
      <c r="AG457" s="170"/>
      <c r="AH457" s="170"/>
      <c r="AI457" s="170"/>
      <c r="AJ457" s="170"/>
      <c r="AK457" s="170"/>
      <c r="AL457" s="170"/>
      <c r="AM457" s="170"/>
      <c r="AN457" s="170"/>
      <c r="AO457" s="170"/>
      <c r="AP457" s="170"/>
      <c r="AQ457" s="170"/>
    </row>
    <row r="458" spans="1:43" ht="35.1" customHeight="1">
      <c r="A458" s="170"/>
      <c r="B458" s="170"/>
      <c r="C458" s="170"/>
      <c r="D458" s="170"/>
      <c r="E458" s="170"/>
      <c r="F458" s="170"/>
      <c r="G458" s="170"/>
      <c r="H458" s="170"/>
      <c r="I458" s="170"/>
      <c r="J458" s="170"/>
      <c r="K458" s="170"/>
      <c r="L458" s="170"/>
      <c r="M458" s="164"/>
      <c r="N458" s="170"/>
      <c r="O458" s="170"/>
      <c r="P458" s="170"/>
      <c r="Q458" s="170"/>
      <c r="R458" s="170"/>
      <c r="S458" s="170"/>
      <c r="T458" s="170"/>
      <c r="U458" s="170"/>
      <c r="V458" s="170"/>
      <c r="W458" s="170"/>
      <c r="X458" s="170"/>
      <c r="Y458" s="170"/>
      <c r="Z458" s="170"/>
      <c r="AA458" s="170"/>
      <c r="AB458" s="170"/>
      <c r="AC458" s="170"/>
      <c r="AD458" s="170"/>
      <c r="AE458" s="170"/>
      <c r="AF458" s="170"/>
      <c r="AG458" s="170"/>
      <c r="AH458" s="170"/>
      <c r="AI458" s="170"/>
      <c r="AJ458" s="170"/>
      <c r="AK458" s="170"/>
      <c r="AL458" s="170"/>
      <c r="AM458" s="170"/>
      <c r="AN458" s="170"/>
      <c r="AO458" s="170"/>
      <c r="AP458" s="170"/>
      <c r="AQ458" s="170"/>
    </row>
    <row r="459" spans="1:43" ht="35.1" customHeight="1">
      <c r="A459" s="170"/>
      <c r="B459" s="170"/>
      <c r="C459" s="170"/>
      <c r="D459" s="170"/>
      <c r="E459" s="170"/>
      <c r="F459" s="170"/>
      <c r="G459" s="170"/>
      <c r="H459" s="170"/>
      <c r="I459" s="170"/>
      <c r="J459" s="170"/>
      <c r="K459" s="170"/>
      <c r="L459" s="170"/>
      <c r="M459" s="164"/>
      <c r="N459" s="170"/>
      <c r="O459" s="170"/>
      <c r="P459" s="170"/>
      <c r="Q459" s="170"/>
      <c r="R459" s="170"/>
      <c r="S459" s="170"/>
      <c r="T459" s="170"/>
      <c r="U459" s="170"/>
      <c r="V459" s="170"/>
      <c r="W459" s="170"/>
      <c r="X459" s="170"/>
      <c r="Y459" s="170"/>
      <c r="Z459" s="170"/>
      <c r="AA459" s="170"/>
      <c r="AB459" s="170"/>
      <c r="AC459" s="170"/>
      <c r="AD459" s="170"/>
      <c r="AE459" s="170"/>
      <c r="AF459" s="170"/>
      <c r="AG459" s="170"/>
      <c r="AH459" s="170"/>
      <c r="AI459" s="170"/>
      <c r="AJ459" s="170"/>
      <c r="AK459" s="170"/>
      <c r="AL459" s="170"/>
      <c r="AM459" s="170"/>
      <c r="AN459" s="170"/>
      <c r="AO459" s="170"/>
      <c r="AP459" s="170"/>
      <c r="AQ459" s="170"/>
    </row>
    <row r="460" spans="1:43" ht="35.1" customHeight="1">
      <c r="A460" s="164"/>
      <c r="B460" s="164"/>
      <c r="C460" s="164"/>
      <c r="D460" s="164"/>
      <c r="E460" s="164"/>
      <c r="F460" s="164"/>
      <c r="G460" s="164"/>
      <c r="H460" s="164"/>
      <c r="I460" s="164"/>
      <c r="J460" s="164"/>
      <c r="K460" s="164"/>
      <c r="L460" s="175"/>
      <c r="M460" s="170"/>
      <c r="N460" s="164"/>
      <c r="O460" s="164"/>
      <c r="P460" s="164"/>
      <c r="Q460" s="164"/>
      <c r="R460" s="164"/>
      <c r="S460" s="164"/>
      <c r="T460" s="164"/>
      <c r="U460" s="164"/>
      <c r="V460" s="164"/>
      <c r="W460" s="164"/>
      <c r="X460" s="164"/>
      <c r="Y460" s="164"/>
      <c r="Z460" s="164"/>
      <c r="AA460" s="164"/>
      <c r="AB460" s="164"/>
      <c r="AC460" s="164"/>
      <c r="AD460" s="164"/>
      <c r="AE460" s="164"/>
      <c r="AF460" s="164"/>
      <c r="AG460" s="164"/>
      <c r="AH460" s="164"/>
      <c r="AI460" s="164"/>
      <c r="AJ460" s="164"/>
      <c r="AK460" s="164"/>
      <c r="AL460" s="164"/>
      <c r="AM460" s="164"/>
      <c r="AN460" s="164"/>
      <c r="AO460" s="164"/>
      <c r="AP460" s="164"/>
      <c r="AQ460" s="164"/>
    </row>
    <row r="461" spans="1:43" ht="35.1" customHeight="1">
      <c r="A461" s="164"/>
      <c r="B461" s="164"/>
      <c r="C461" s="164"/>
      <c r="D461" s="164"/>
      <c r="E461" s="164"/>
      <c r="F461" s="164"/>
      <c r="G461" s="164"/>
      <c r="H461" s="164"/>
      <c r="I461" s="164"/>
      <c r="J461" s="164"/>
      <c r="K461" s="164"/>
      <c r="L461" s="175"/>
      <c r="M461" s="185"/>
      <c r="N461" s="164"/>
      <c r="O461" s="164"/>
      <c r="P461" s="164"/>
      <c r="Q461" s="164"/>
      <c r="R461" s="164"/>
      <c r="S461" s="164"/>
      <c r="T461" s="164"/>
      <c r="U461" s="164"/>
      <c r="V461" s="164"/>
      <c r="W461" s="164"/>
      <c r="X461" s="164"/>
      <c r="Y461" s="164"/>
      <c r="Z461" s="164"/>
      <c r="AA461" s="164"/>
      <c r="AB461" s="164"/>
      <c r="AC461" s="164"/>
      <c r="AD461" s="164"/>
      <c r="AE461" s="164"/>
      <c r="AF461" s="164"/>
      <c r="AG461" s="164"/>
      <c r="AH461" s="164"/>
      <c r="AI461" s="164"/>
      <c r="AJ461" s="164"/>
      <c r="AK461" s="164"/>
      <c r="AL461" s="164"/>
      <c r="AM461" s="164"/>
      <c r="AN461" s="164"/>
      <c r="AO461" s="164"/>
      <c r="AP461" s="164"/>
      <c r="AQ461" s="164"/>
    </row>
    <row r="462" spans="1:43" ht="35.1" customHeight="1">
      <c r="A462" s="164"/>
      <c r="B462" s="164"/>
      <c r="C462" s="164"/>
      <c r="D462" s="164"/>
      <c r="E462" s="164"/>
      <c r="F462" s="164"/>
      <c r="G462" s="164"/>
      <c r="H462" s="164"/>
      <c r="I462" s="164"/>
      <c r="J462" s="164"/>
      <c r="K462" s="164"/>
      <c r="L462" s="175"/>
      <c r="M462" s="186"/>
      <c r="N462" s="164"/>
      <c r="O462" s="164"/>
      <c r="P462" s="164"/>
      <c r="Q462" s="164"/>
      <c r="R462" s="164"/>
      <c r="S462" s="164"/>
      <c r="T462" s="164"/>
      <c r="U462" s="164"/>
      <c r="V462" s="164"/>
      <c r="W462" s="164"/>
      <c r="X462" s="164"/>
      <c r="Y462" s="164"/>
      <c r="Z462" s="164"/>
      <c r="AA462" s="164"/>
      <c r="AB462" s="164"/>
      <c r="AC462" s="164"/>
      <c r="AD462" s="164"/>
      <c r="AE462" s="164"/>
      <c r="AF462" s="164"/>
      <c r="AG462" s="164"/>
      <c r="AH462" s="164"/>
      <c r="AI462" s="164"/>
      <c r="AJ462" s="164"/>
      <c r="AK462" s="164"/>
      <c r="AL462" s="164"/>
      <c r="AM462" s="164"/>
      <c r="AN462" s="164"/>
      <c r="AO462" s="164"/>
      <c r="AP462" s="164"/>
      <c r="AQ462" s="164"/>
    </row>
    <row r="463" spans="1:43" ht="35.1" customHeight="1">
      <c r="A463" s="164"/>
      <c r="B463" s="164"/>
      <c r="C463" s="164"/>
      <c r="D463" s="164"/>
      <c r="E463" s="164"/>
      <c r="F463" s="164"/>
      <c r="G463" s="164"/>
      <c r="H463" s="164"/>
      <c r="I463" s="164"/>
      <c r="J463" s="164"/>
      <c r="K463" s="164"/>
      <c r="L463" s="164"/>
      <c r="M463" s="175"/>
      <c r="N463" s="164"/>
      <c r="O463" s="164"/>
      <c r="P463" s="164"/>
      <c r="Q463" s="164"/>
      <c r="R463" s="164"/>
      <c r="S463" s="164"/>
      <c r="T463" s="164"/>
      <c r="U463" s="164"/>
      <c r="V463" s="164"/>
      <c r="W463" s="164"/>
      <c r="X463" s="164"/>
      <c r="Y463" s="164"/>
      <c r="Z463" s="164"/>
      <c r="AA463" s="164"/>
      <c r="AB463" s="164"/>
      <c r="AC463" s="164"/>
      <c r="AD463" s="164"/>
      <c r="AE463" s="164"/>
      <c r="AF463" s="164"/>
      <c r="AG463" s="164"/>
      <c r="AH463" s="164"/>
      <c r="AI463" s="164"/>
      <c r="AJ463" s="164"/>
      <c r="AK463" s="164"/>
      <c r="AL463" s="164"/>
      <c r="AM463" s="164"/>
      <c r="AN463" s="164"/>
      <c r="AO463" s="164"/>
      <c r="AP463" s="164"/>
      <c r="AQ463" s="164"/>
    </row>
    <row r="464" spans="1:43" ht="35.1" customHeight="1">
      <c r="A464" s="164"/>
      <c r="B464" s="164"/>
      <c r="C464" s="164"/>
      <c r="D464" s="164"/>
      <c r="E464" s="164"/>
      <c r="F464" s="164"/>
      <c r="G464" s="164"/>
      <c r="H464" s="164"/>
      <c r="I464" s="164"/>
      <c r="J464" s="164"/>
      <c r="K464" s="164"/>
      <c r="L464" s="164"/>
      <c r="M464" s="164"/>
      <c r="N464" s="164"/>
      <c r="O464" s="164"/>
      <c r="P464" s="164"/>
      <c r="Q464" s="164"/>
      <c r="R464" s="164"/>
      <c r="S464" s="164"/>
      <c r="T464" s="164"/>
      <c r="U464" s="164"/>
      <c r="V464" s="164"/>
      <c r="W464" s="164"/>
      <c r="X464" s="164"/>
      <c r="Y464" s="164"/>
      <c r="Z464" s="164"/>
      <c r="AA464" s="164"/>
      <c r="AB464" s="164"/>
      <c r="AC464" s="164"/>
      <c r="AD464" s="164"/>
      <c r="AE464" s="164"/>
      <c r="AF464" s="164"/>
      <c r="AG464" s="164"/>
      <c r="AH464" s="164"/>
      <c r="AI464" s="164"/>
      <c r="AJ464" s="164"/>
      <c r="AK464" s="164"/>
      <c r="AL464" s="164"/>
      <c r="AM464" s="164"/>
      <c r="AN464" s="164"/>
      <c r="AO464" s="164"/>
      <c r="AP464" s="164"/>
      <c r="AQ464" s="164"/>
    </row>
    <row r="465" spans="1:43" ht="35.1" customHeight="1">
      <c r="A465" s="164"/>
      <c r="B465" s="164"/>
      <c r="C465" s="164"/>
      <c r="D465" s="164"/>
      <c r="E465" s="164"/>
      <c r="F465" s="164"/>
      <c r="G465" s="164"/>
      <c r="H465" s="164"/>
      <c r="I465" s="164"/>
      <c r="J465" s="164"/>
      <c r="K465" s="164"/>
      <c r="L465" s="164"/>
      <c r="M465" s="164"/>
      <c r="N465" s="164"/>
      <c r="O465" s="164"/>
      <c r="P465" s="164"/>
      <c r="Q465" s="164"/>
      <c r="R465" s="164"/>
      <c r="S465" s="164"/>
      <c r="T465" s="164"/>
      <c r="U465" s="164"/>
      <c r="V465" s="164"/>
      <c r="W465" s="164"/>
      <c r="X465" s="164"/>
      <c r="Y465" s="164"/>
      <c r="Z465" s="164"/>
      <c r="AA465" s="164"/>
      <c r="AB465" s="164"/>
      <c r="AC465" s="164"/>
      <c r="AD465" s="164"/>
      <c r="AE465" s="164"/>
      <c r="AF465" s="164"/>
      <c r="AG465" s="164"/>
      <c r="AH465" s="164"/>
      <c r="AI465" s="164"/>
      <c r="AJ465" s="164"/>
      <c r="AK465" s="164"/>
      <c r="AL465" s="164"/>
      <c r="AM465" s="164"/>
      <c r="AN465" s="164"/>
      <c r="AO465" s="164"/>
      <c r="AP465" s="164"/>
      <c r="AQ465" s="164"/>
    </row>
    <row r="466" spans="1:43" ht="35.1" customHeight="1">
      <c r="A466" s="164"/>
      <c r="B466" s="164"/>
      <c r="C466" s="164"/>
      <c r="D466" s="164"/>
      <c r="E466" s="164"/>
      <c r="F466" s="164"/>
      <c r="G466" s="164"/>
      <c r="H466" s="164"/>
      <c r="I466" s="164"/>
      <c r="J466" s="164"/>
      <c r="K466" s="164"/>
      <c r="L466" s="164"/>
      <c r="M466" s="164"/>
      <c r="N466" s="164"/>
      <c r="O466" s="164"/>
      <c r="P466" s="164"/>
      <c r="Q466" s="164"/>
      <c r="R466" s="164"/>
      <c r="S466" s="164"/>
      <c r="T466" s="164"/>
      <c r="U466" s="164"/>
      <c r="V466" s="164"/>
      <c r="W466" s="164"/>
      <c r="X466" s="164"/>
      <c r="Y466" s="164"/>
      <c r="Z466" s="164"/>
      <c r="AA466" s="164"/>
      <c r="AB466" s="164"/>
      <c r="AC466" s="164"/>
      <c r="AD466" s="164"/>
      <c r="AE466" s="164"/>
      <c r="AF466" s="164"/>
      <c r="AG466" s="164"/>
      <c r="AH466" s="164"/>
      <c r="AI466" s="164"/>
      <c r="AJ466" s="164"/>
      <c r="AK466" s="164"/>
      <c r="AL466" s="164"/>
      <c r="AM466" s="164"/>
      <c r="AN466" s="164"/>
      <c r="AO466" s="164"/>
      <c r="AP466" s="164"/>
      <c r="AQ466" s="164"/>
    </row>
    <row r="467" spans="1:43" ht="35.1" customHeight="1">
      <c r="A467" s="280"/>
      <c r="B467" s="280"/>
      <c r="C467" s="280"/>
      <c r="D467" s="280"/>
      <c r="E467" s="280"/>
      <c r="F467" s="280"/>
      <c r="G467" s="280"/>
      <c r="H467" s="280"/>
      <c r="I467" s="280"/>
      <c r="J467" s="280"/>
      <c r="K467" s="280"/>
      <c r="L467" s="280"/>
      <c r="M467" s="164"/>
      <c r="N467" s="164"/>
      <c r="O467" s="164"/>
      <c r="P467" s="164"/>
      <c r="Q467" s="164"/>
      <c r="R467" s="164"/>
      <c r="S467" s="164"/>
      <c r="T467" s="164"/>
      <c r="U467" s="164"/>
      <c r="V467" s="164"/>
      <c r="W467" s="164"/>
      <c r="X467" s="164"/>
      <c r="Y467" s="164"/>
      <c r="Z467" s="164"/>
      <c r="AA467" s="164"/>
      <c r="AB467" s="164"/>
      <c r="AC467" s="164"/>
      <c r="AD467" s="164"/>
      <c r="AE467" s="164"/>
      <c r="AF467" s="164"/>
      <c r="AG467" s="164"/>
      <c r="AH467" s="164"/>
      <c r="AI467" s="164"/>
      <c r="AJ467" s="164"/>
      <c r="AK467" s="164"/>
      <c r="AL467" s="164"/>
      <c r="AM467" s="164"/>
      <c r="AN467" s="164"/>
      <c r="AO467" s="164"/>
      <c r="AP467" s="164"/>
      <c r="AQ467" s="164"/>
    </row>
    <row r="468" spans="1:43" ht="35.1" customHeight="1">
      <c r="A468" s="280"/>
      <c r="B468" s="280"/>
      <c r="C468" s="280"/>
      <c r="D468" s="280"/>
      <c r="E468" s="280"/>
      <c r="F468" s="280"/>
      <c r="G468" s="280"/>
      <c r="H468" s="280"/>
      <c r="I468" s="280"/>
      <c r="J468" s="280"/>
      <c r="K468" s="280"/>
      <c r="L468" s="280"/>
      <c r="M468" s="164"/>
      <c r="N468" s="164"/>
      <c r="O468" s="164"/>
      <c r="P468" s="164"/>
      <c r="Q468" s="164"/>
      <c r="R468" s="164"/>
      <c r="S468" s="164"/>
      <c r="T468" s="164"/>
      <c r="U468" s="164"/>
      <c r="V468" s="164"/>
      <c r="W468" s="164"/>
      <c r="X468" s="164"/>
      <c r="Y468" s="164"/>
      <c r="Z468" s="164"/>
      <c r="AA468" s="164"/>
      <c r="AB468" s="164"/>
      <c r="AC468" s="164"/>
      <c r="AD468" s="164"/>
      <c r="AE468" s="164"/>
      <c r="AF468" s="164"/>
      <c r="AG468" s="164"/>
      <c r="AH468" s="164"/>
      <c r="AI468" s="164"/>
      <c r="AJ468" s="164"/>
      <c r="AK468" s="164"/>
      <c r="AL468" s="164"/>
      <c r="AM468" s="164"/>
      <c r="AN468" s="164"/>
      <c r="AO468" s="164"/>
      <c r="AP468" s="164"/>
      <c r="AQ468" s="164"/>
    </row>
    <row r="469" spans="1:43" ht="35.1" customHeight="1">
      <c r="A469" s="280"/>
      <c r="B469" s="280"/>
      <c r="C469" s="280"/>
      <c r="D469" s="280"/>
      <c r="E469" s="280"/>
      <c r="F469" s="280"/>
      <c r="G469" s="280"/>
      <c r="H469" s="280"/>
      <c r="I469" s="280"/>
      <c r="J469" s="280"/>
      <c r="K469" s="280"/>
      <c r="L469" s="280"/>
      <c r="M469" s="164"/>
      <c r="N469" s="164"/>
      <c r="O469" s="164"/>
      <c r="P469" s="164"/>
      <c r="Q469" s="164"/>
      <c r="R469" s="164"/>
      <c r="S469" s="164"/>
      <c r="T469" s="164"/>
      <c r="U469" s="164"/>
      <c r="V469" s="164"/>
      <c r="W469" s="164"/>
      <c r="X469" s="164"/>
      <c r="Y469" s="164"/>
      <c r="Z469" s="164"/>
      <c r="AA469" s="164"/>
      <c r="AB469" s="164"/>
      <c r="AC469" s="164"/>
      <c r="AD469" s="164"/>
      <c r="AE469" s="164"/>
      <c r="AF469" s="164"/>
      <c r="AG469" s="164"/>
      <c r="AH469" s="164"/>
      <c r="AI469" s="164"/>
      <c r="AJ469" s="164"/>
      <c r="AK469" s="164"/>
      <c r="AL469" s="164"/>
      <c r="AM469" s="164"/>
      <c r="AN469" s="164"/>
      <c r="AO469" s="164"/>
      <c r="AP469" s="164"/>
      <c r="AQ469" s="164"/>
    </row>
    <row r="470" spans="1:43" ht="35.1" customHeight="1">
      <c r="A470" s="280"/>
      <c r="B470" s="280"/>
      <c r="C470" s="280"/>
      <c r="D470" s="280"/>
      <c r="E470" s="280"/>
      <c r="F470" s="280"/>
      <c r="G470" s="280"/>
      <c r="H470" s="280"/>
      <c r="I470" s="280"/>
      <c r="J470" s="280"/>
      <c r="K470" s="280"/>
      <c r="L470" s="280"/>
      <c r="M470" s="164"/>
      <c r="N470" s="164"/>
      <c r="O470" s="164"/>
      <c r="P470" s="164"/>
      <c r="Q470" s="164"/>
      <c r="R470" s="164"/>
      <c r="S470" s="164"/>
      <c r="T470" s="164"/>
      <c r="U470" s="164"/>
      <c r="V470" s="164"/>
      <c r="W470" s="164"/>
      <c r="X470" s="164"/>
      <c r="Y470" s="164"/>
      <c r="Z470" s="164"/>
      <c r="AA470" s="164"/>
      <c r="AB470" s="164"/>
      <c r="AC470" s="164"/>
      <c r="AD470" s="164"/>
      <c r="AE470" s="164"/>
      <c r="AF470" s="164"/>
      <c r="AG470" s="164"/>
      <c r="AH470" s="164"/>
      <c r="AI470" s="164"/>
      <c r="AJ470" s="164"/>
      <c r="AK470" s="164"/>
      <c r="AL470" s="164"/>
      <c r="AM470" s="164"/>
      <c r="AN470" s="164"/>
      <c r="AO470" s="164"/>
      <c r="AP470" s="164"/>
      <c r="AQ470" s="164"/>
    </row>
  </sheetData>
  <mergeCells count="86">
    <mergeCell ref="X445:AE446"/>
    <mergeCell ref="AH4:AQ4"/>
    <mergeCell ref="AH5:AQ5"/>
    <mergeCell ref="AH6:AL7"/>
    <mergeCell ref="AM6:AQ7"/>
    <mergeCell ref="AH8:AH11"/>
    <mergeCell ref="AI8:AI11"/>
    <mergeCell ref="AJ8:AJ11"/>
    <mergeCell ref="AK8:AK11"/>
    <mergeCell ref="AL8:AL11"/>
    <mergeCell ref="AM8:AM11"/>
    <mergeCell ref="AN8:AN11"/>
    <mergeCell ref="AO8:AO11"/>
    <mergeCell ref="AP8:AP11"/>
    <mergeCell ref="AQ8:AQ11"/>
    <mergeCell ref="AA2:AG2"/>
    <mergeCell ref="X6:X9"/>
    <mergeCell ref="Y6:Y8"/>
    <mergeCell ref="Z6:Z8"/>
    <mergeCell ref="AA6:AA10"/>
    <mergeCell ref="AB6:AB8"/>
    <mergeCell ref="AC6:AC9"/>
    <mergeCell ref="AD6:AD8"/>
    <mergeCell ref="AE6:AE8"/>
    <mergeCell ref="AF6:AF11"/>
    <mergeCell ref="AG6:AG8"/>
    <mergeCell ref="N10:N11"/>
    <mergeCell ref="P10:P11"/>
    <mergeCell ref="R10:R11"/>
    <mergeCell ref="T10:T11"/>
    <mergeCell ref="V10:V11"/>
    <mergeCell ref="N3:V3"/>
    <mergeCell ref="N5:W5"/>
    <mergeCell ref="N6:O9"/>
    <mergeCell ref="P6:Q9"/>
    <mergeCell ref="R6:S9"/>
    <mergeCell ref="T6:U9"/>
    <mergeCell ref="V6:W9"/>
    <mergeCell ref="J296:J297"/>
    <mergeCell ref="K296:K297"/>
    <mergeCell ref="C410:C411"/>
    <mergeCell ref="B449:D449"/>
    <mergeCell ref="B450:K450"/>
    <mergeCell ref="C289:C290"/>
    <mergeCell ref="F295:F301"/>
    <mergeCell ref="G295:G301"/>
    <mergeCell ref="H295:H301"/>
    <mergeCell ref="I296:I297"/>
    <mergeCell ref="I202:I206"/>
    <mergeCell ref="J202:J206"/>
    <mergeCell ref="K202:K206"/>
    <mergeCell ref="G264:G266"/>
    <mergeCell ref="C86:C92"/>
    <mergeCell ref="I86:I92"/>
    <mergeCell ref="C143:C144"/>
    <mergeCell ref="D143:D144"/>
    <mergeCell ref="E143:E144"/>
    <mergeCell ref="I57:I61"/>
    <mergeCell ref="J57:J61"/>
    <mergeCell ref="K57:K61"/>
    <mergeCell ref="I75:I76"/>
    <mergeCell ref="I81:I84"/>
    <mergeCell ref="I34:I36"/>
    <mergeCell ref="J34:J36"/>
    <mergeCell ref="K34:K36"/>
    <mergeCell ref="C38:C39"/>
    <mergeCell ref="L4:L11"/>
    <mergeCell ref="M4:M11"/>
    <mergeCell ref="C5:E5"/>
    <mergeCell ref="F5:H5"/>
    <mergeCell ref="I5:K5"/>
    <mergeCell ref="C6:C11"/>
    <mergeCell ref="D6:D11"/>
    <mergeCell ref="E6:E11"/>
    <mergeCell ref="F6:F11"/>
    <mergeCell ref="G6:G11"/>
    <mergeCell ref="H6:H11"/>
    <mergeCell ref="I6:I11"/>
    <mergeCell ref="J6:J11"/>
    <mergeCell ref="K6:K11"/>
    <mergeCell ref="A4:A11"/>
    <mergeCell ref="B4:B11"/>
    <mergeCell ref="C4:K4"/>
    <mergeCell ref="I17:I27"/>
    <mergeCell ref="J17:J27"/>
    <mergeCell ref="K17:K27"/>
  </mergeCells>
  <hyperlinks>
    <hyperlink ref="C126" r:id="rId1" display="https://internet.garant.ru/document/redirect/74944009/0"/>
  </hyperlinks>
  <pageMargins left="0.7" right="0.7" top="0.75" bottom="0.75" header="0.3" footer="0.3"/>
  <pageSetup paperSize="9" orientation="portrait" horizontalDpi="180" verticalDpi="180" r:id="rId2"/>
</worksheet>
</file>

<file path=xl/worksheets/sheet2.xml><?xml version="1.0" encoding="utf-8"?>
<worksheet xmlns="http://schemas.openxmlformats.org/spreadsheetml/2006/main" xmlns:r="http://schemas.openxmlformats.org/officeDocument/2006/relationships">
  <dimension ref="A8:C19"/>
  <sheetViews>
    <sheetView workbookViewId="0">
      <selection activeCell="A7" sqref="A7:C19"/>
    </sheetView>
  </sheetViews>
  <sheetFormatPr defaultRowHeight="15"/>
  <sheetData>
    <row r="8" spans="1:3" ht="101.25">
      <c r="A8" s="171" t="s">
        <v>721</v>
      </c>
      <c r="B8" s="172" t="s">
        <v>716</v>
      </c>
      <c r="C8" s="173" t="s">
        <v>717</v>
      </c>
    </row>
    <row r="14" spans="1:3">
      <c r="A14" s="356" t="s">
        <v>718</v>
      </c>
      <c r="B14" s="356" t="s">
        <v>719</v>
      </c>
      <c r="C14" s="356" t="s">
        <v>720</v>
      </c>
    </row>
    <row r="15" spans="1:3">
      <c r="A15" s="357"/>
      <c r="B15" s="357"/>
      <c r="C15" s="357"/>
    </row>
    <row r="16" spans="1:3">
      <c r="A16" s="357"/>
      <c r="B16" s="357"/>
      <c r="C16" s="357"/>
    </row>
    <row r="17" spans="1:3">
      <c r="A17" s="357"/>
      <c r="B17" s="357"/>
      <c r="C17" s="357"/>
    </row>
    <row r="18" spans="1:3">
      <c r="A18" s="357"/>
      <c r="B18" s="357"/>
      <c r="C18" s="357"/>
    </row>
    <row r="19" spans="1:3">
      <c r="A19" s="357"/>
      <c r="B19" s="357"/>
      <c r="C19" s="357"/>
    </row>
  </sheetData>
  <mergeCells count="3">
    <mergeCell ref="A14:A19"/>
    <mergeCell ref="B14:B19"/>
    <mergeCell ref="C14:C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01.01.2026 </vt:lpstr>
      <vt:lpstr>Лист1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2026-05-13T02:46:44Z</dcterms:modified>
</cp:coreProperties>
</file>